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4"/>
  <workbookPr codeName="ThisWorkbook" defaultThemeVersion="124226"/>
  <mc:AlternateContent xmlns:mc="http://schemas.openxmlformats.org/markup-compatibility/2006">
    <mc:Choice Requires="x15">
      <x15ac:absPath xmlns:x15ac="http://schemas.microsoft.com/office/spreadsheetml/2010/11/ac" url="\\Topdc1\bos ea\BUDGETS\FY2023\"/>
    </mc:Choice>
  </mc:AlternateContent>
  <xr:revisionPtr revIDLastSave="0" documentId="8_{5B3DD5D2-FE30-4F5E-B9E0-6E543D70E846}" xr6:coauthVersionLast="36" xr6:coauthVersionMax="36" xr10:uidLastSave="{00000000-0000-0000-0000-000000000000}"/>
  <bookViews>
    <workbookView xWindow="-2568" yWindow="600" windowWidth="16416" windowHeight="6348" activeTab="1" xr2:uid="{00000000-000D-0000-FFFF-FFFF00000000}"/>
  </bookViews>
  <sheets>
    <sheet name="INDEX" sheetId="60" r:id="rId1"/>
    <sheet name="BUDGET DETAIL" sheetId="64" r:id="rId2"/>
    <sheet name="ABOVE GUIDELINES" sheetId="53" r:id="rId3"/>
    <sheet name="Unclassified" sheetId="1" r:id="rId4"/>
    <sheet name="% INC" sheetId="61" r:id="rId5"/>
    <sheet name="Pie Chart-Budget" sheetId="62" r:id="rId6"/>
    <sheet name="Pie Chart-School" sheetId="63" r:id="rId7"/>
    <sheet name="SUMMARY" sheetId="3" r:id="rId8"/>
    <sheet name="Exp By Function" sheetId="4" r:id="rId9"/>
  </sheets>
  <definedNames>
    <definedName name="_xlnm.Print_Area" localSheetId="4">'% INC'!$A$1:$L$24</definedName>
    <definedName name="_xlnm.Print_Area" localSheetId="2">'ABOVE GUIDELINES'!$A$1:$U$66</definedName>
    <definedName name="_xlnm.Print_Area" localSheetId="1">'BUDGET DETAIL'!$A$1:$CH$940</definedName>
    <definedName name="_xlnm.Print_Area" localSheetId="8">'Exp By Function'!$A$1:$U$58</definedName>
    <definedName name="_xlnm.Print_Area" localSheetId="0">INDEX!$A$1:$D$47</definedName>
    <definedName name="_xlnm.Print_Area" localSheetId="5">'Pie Chart-Budget'!$A$1:$P$37</definedName>
    <definedName name="_xlnm.Print_Area" localSheetId="6">'Pie Chart-School'!$A$1:$P$38</definedName>
    <definedName name="_xlnm.Print_Area" localSheetId="7">SUMMARY!$A$1:$P$370</definedName>
    <definedName name="_xlnm.Print_Area" localSheetId="3">Unclassified!$A$1:$AF$32</definedName>
    <definedName name="_xlnm.Print_Titles" localSheetId="2">'ABOVE GUIDELINES'!$1:$5</definedName>
    <definedName name="_xlnm.Print_Titles" localSheetId="1">'BUDGET DETAIL'!$1:$2</definedName>
    <definedName name="_xlnm.Print_Titles" localSheetId="7">SUMMARY!$1:$4</definedName>
    <definedName name="_xlnm.Print_Titles" localSheetId="3">Unclassified!$1:$2</definedName>
  </definedNames>
  <calcPr calcId="191029"/>
</workbook>
</file>

<file path=xl/calcChain.xml><?xml version="1.0" encoding="utf-8"?>
<calcChain xmlns="http://schemas.openxmlformats.org/spreadsheetml/2006/main">
  <c r="P368" i="3" l="1"/>
  <c r="P367" i="3"/>
  <c r="P365" i="3"/>
  <c r="P356" i="3"/>
  <c r="P354" i="3"/>
  <c r="P352" i="3"/>
  <c r="P350" i="3"/>
  <c r="P347" i="3"/>
  <c r="P345" i="3"/>
  <c r="P342" i="3"/>
  <c r="P340" i="3"/>
  <c r="P337" i="3"/>
  <c r="P335" i="3"/>
  <c r="P325" i="3"/>
  <c r="P324" i="3"/>
  <c r="P322" i="3"/>
  <c r="P317" i="3"/>
  <c r="P310" i="3"/>
  <c r="P308" i="3"/>
  <c r="P306" i="3"/>
  <c r="P303" i="3"/>
  <c r="P301" i="3"/>
  <c r="P298" i="3"/>
  <c r="P296" i="3"/>
  <c r="P294" i="3"/>
  <c r="P293" i="3"/>
  <c r="P290" i="3"/>
  <c r="P288" i="3"/>
  <c r="P286" i="3"/>
  <c r="P285" i="3"/>
  <c r="P284" i="3"/>
  <c r="P279" i="3"/>
  <c r="P277" i="3"/>
  <c r="P275" i="3"/>
  <c r="P272" i="3"/>
  <c r="P270" i="3"/>
  <c r="P267" i="3"/>
  <c r="P265" i="3"/>
  <c r="P263" i="3"/>
  <c r="P262" i="3"/>
  <c r="P261" i="3"/>
  <c r="P258" i="3"/>
  <c r="P256" i="3"/>
  <c r="P254" i="3"/>
  <c r="P253" i="3"/>
  <c r="P252" i="3"/>
  <c r="P248" i="3"/>
  <c r="P246" i="3"/>
  <c r="P244" i="3"/>
  <c r="P241" i="3"/>
  <c r="P239" i="3"/>
  <c r="P237" i="3"/>
  <c r="P236" i="3"/>
  <c r="P235" i="3"/>
  <c r="P232" i="3"/>
  <c r="P230" i="3"/>
  <c r="P227" i="3"/>
  <c r="P225" i="3"/>
  <c r="P222" i="3"/>
  <c r="P220" i="3"/>
  <c r="P217" i="3"/>
  <c r="P215" i="3"/>
  <c r="P213" i="3"/>
  <c r="P210" i="3"/>
  <c r="P206" i="3"/>
  <c r="P204" i="3"/>
  <c r="P203" i="3"/>
  <c r="P202" i="3"/>
  <c r="P199" i="3"/>
  <c r="P197" i="3"/>
  <c r="P195" i="3"/>
  <c r="P194" i="3"/>
  <c r="P189" i="3"/>
  <c r="P187" i="3"/>
  <c r="P185" i="3"/>
  <c r="P183" i="3"/>
  <c r="P181" i="3"/>
  <c r="P177" i="3"/>
  <c r="P175" i="3"/>
  <c r="P173" i="3"/>
  <c r="P171" i="3"/>
  <c r="P170" i="3"/>
  <c r="P169" i="3"/>
  <c r="P166" i="3"/>
  <c r="P164" i="3"/>
  <c r="P162" i="3"/>
  <c r="P161" i="3"/>
  <c r="P158" i="3"/>
  <c r="P156" i="3"/>
  <c r="P154" i="3"/>
  <c r="P153" i="3"/>
  <c r="P150" i="3"/>
  <c r="P148" i="3"/>
  <c r="P147" i="3"/>
  <c r="P144" i="3"/>
  <c r="P142" i="3"/>
  <c r="P140" i="3"/>
  <c r="P139" i="3"/>
  <c r="P138" i="3"/>
  <c r="P135" i="3"/>
  <c r="P133" i="3"/>
  <c r="P131" i="3"/>
  <c r="P130" i="3"/>
  <c r="P129" i="3"/>
  <c r="P126" i="3"/>
  <c r="P124" i="3"/>
  <c r="P122" i="3"/>
  <c r="P121" i="3"/>
  <c r="P120" i="3"/>
  <c r="P115" i="3"/>
  <c r="P113" i="3"/>
  <c r="P111" i="3"/>
  <c r="P108" i="3"/>
  <c r="P106" i="3"/>
  <c r="P104" i="3"/>
  <c r="P103" i="3"/>
  <c r="P100" i="3"/>
  <c r="P98" i="3"/>
  <c r="P97" i="3"/>
  <c r="P96" i="3"/>
  <c r="P88" i="3"/>
  <c r="P86" i="3"/>
  <c r="P84" i="3"/>
  <c r="P83" i="3"/>
  <c r="P82" i="3"/>
  <c r="P79" i="3"/>
  <c r="P77" i="3"/>
  <c r="P75" i="3"/>
  <c r="P74" i="3"/>
  <c r="P71" i="3"/>
  <c r="P69" i="3"/>
  <c r="P66" i="3"/>
  <c r="P64" i="3"/>
  <c r="P61" i="3"/>
  <c r="P59" i="3"/>
  <c r="P57" i="3"/>
  <c r="P56" i="3"/>
  <c r="P55" i="3"/>
  <c r="P52" i="3"/>
  <c r="P50" i="3"/>
  <c r="P48" i="3"/>
  <c r="P47" i="3"/>
  <c r="P46" i="3"/>
  <c r="P43" i="3"/>
  <c r="P41" i="3"/>
  <c r="P39" i="3"/>
  <c r="P38" i="3"/>
  <c r="P37" i="3"/>
  <c r="P34" i="3"/>
  <c r="P32" i="3"/>
  <c r="P30" i="3"/>
  <c r="P28" i="3"/>
  <c r="P27" i="3"/>
  <c r="P24" i="3"/>
  <c r="P22" i="3"/>
  <c r="P19" i="3"/>
  <c r="P17" i="3"/>
  <c r="P15" i="3"/>
  <c r="P14" i="3"/>
  <c r="P13" i="3"/>
  <c r="P10" i="3"/>
  <c r="P8" i="3"/>
  <c r="CL769" i="64"/>
  <c r="CA372" i="64"/>
  <c r="CH927" i="64"/>
  <c r="CH929" i="64" s="1"/>
  <c r="CE156" i="64"/>
  <c r="CA156" i="64"/>
  <c r="CA427" i="64"/>
  <c r="CA419" i="64"/>
  <c r="CA402" i="64"/>
  <c r="CA392" i="64"/>
  <c r="CA361" i="64"/>
  <c r="CA363" i="64"/>
  <c r="CA173" i="64"/>
  <c r="CA324" i="64"/>
  <c r="CA327" i="64"/>
  <c r="CE228" i="64" l="1"/>
  <c r="CE217" i="64"/>
  <c r="CE212" i="64"/>
  <c r="CE181" i="64"/>
  <c r="CE182" i="64" s="1"/>
  <c r="CE184" i="64" s="1"/>
  <c r="CE363" i="64"/>
  <c r="CE419" i="64"/>
  <c r="CE427" i="64"/>
  <c r="CE430" i="64" s="1"/>
  <c r="CE361" i="64"/>
  <c r="CE392" i="64"/>
  <c r="CE402" i="64"/>
  <c r="CE779" i="64"/>
  <c r="CE793" i="64" s="1"/>
  <c r="CE778" i="64"/>
  <c r="CE784" i="64"/>
  <c r="CE920" i="64"/>
  <c r="CE922" i="64" s="1"/>
  <c r="CE911" i="64"/>
  <c r="CE913" i="64" s="1"/>
  <c r="CE907" i="64"/>
  <c r="CE905" i="64"/>
  <c r="CE896" i="64"/>
  <c r="CE898" i="64" s="1"/>
  <c r="CE885" i="64"/>
  <c r="CE887" i="64" s="1"/>
  <c r="CE879" i="64"/>
  <c r="CE881" i="64" s="1"/>
  <c r="CE863" i="64"/>
  <c r="CE865" i="64" s="1"/>
  <c r="CE866" i="64" s="1"/>
  <c r="CE835" i="64"/>
  <c r="CE837" i="64" s="1"/>
  <c r="CE827" i="64"/>
  <c r="CE819" i="64"/>
  <c r="CE829" i="64" s="1"/>
  <c r="CE813" i="64"/>
  <c r="CE815" i="64" s="1"/>
  <c r="CE808" i="64"/>
  <c r="CE806" i="64"/>
  <c r="CE799" i="64"/>
  <c r="CE769" i="64"/>
  <c r="CE764" i="64"/>
  <c r="CE771" i="64" s="1"/>
  <c r="CE750" i="64"/>
  <c r="CE752" i="64" s="1"/>
  <c r="CE744" i="64"/>
  <c r="CE746" i="64" s="1"/>
  <c r="CE732" i="64"/>
  <c r="CE719" i="64"/>
  <c r="CE714" i="64"/>
  <c r="CE721" i="64" s="1"/>
  <c r="CE734" i="64" s="1"/>
  <c r="CE708" i="64"/>
  <c r="CE691" i="64"/>
  <c r="CE686" i="64"/>
  <c r="CE693" i="64" s="1"/>
  <c r="CE676" i="64"/>
  <c r="CE678" i="64" s="1"/>
  <c r="CE667" i="64"/>
  <c r="CE634" i="64"/>
  <c r="CE636" i="64" s="1"/>
  <c r="CE669" i="64" s="1"/>
  <c r="CE624" i="64"/>
  <c r="CE617" i="64"/>
  <c r="CE619" i="64" s="1"/>
  <c r="CE610" i="64"/>
  <c r="CE612" i="64" s="1"/>
  <c r="CE603" i="64"/>
  <c r="CE605" i="64" s="1"/>
  <c r="CE597" i="64"/>
  <c r="CE588" i="64"/>
  <c r="CE580" i="64"/>
  <c r="CE576" i="64"/>
  <c r="CE534" i="64"/>
  <c r="CE524" i="64"/>
  <c r="CE536" i="64" s="1"/>
  <c r="CE582" i="64" s="1"/>
  <c r="CE517" i="64"/>
  <c r="CE519" i="64" s="1"/>
  <c r="CE514" i="64"/>
  <c r="CE504" i="64"/>
  <c r="CE501" i="64"/>
  <c r="CE497" i="64"/>
  <c r="CE487" i="64"/>
  <c r="CE479" i="64"/>
  <c r="CE481" i="64" s="1"/>
  <c r="CE475" i="64"/>
  <c r="CE469" i="64"/>
  <c r="CE464" i="64"/>
  <c r="CE471" i="64" s="1"/>
  <c r="CE458" i="64"/>
  <c r="CE455" i="64"/>
  <c r="CE449" i="64"/>
  <c r="CE451" i="64" s="1"/>
  <c r="CE443" i="64"/>
  <c r="CE425" i="64"/>
  <c r="CE359" i="64"/>
  <c r="CE352" i="64"/>
  <c r="CE311" i="64"/>
  <c r="CE313" i="64" s="1"/>
  <c r="CE306" i="64"/>
  <c r="CE305" i="64"/>
  <c r="CE289" i="64"/>
  <c r="CE277" i="64"/>
  <c r="CE279" i="64" s="1"/>
  <c r="CE267" i="64"/>
  <c r="CE258" i="64"/>
  <c r="CE269" i="64" s="1"/>
  <c r="CE249" i="64"/>
  <c r="CE251" i="64" s="1"/>
  <c r="CE253" i="64" s="1"/>
  <c r="CE245" i="64"/>
  <c r="CE238" i="64"/>
  <c r="CE240" i="64" s="1"/>
  <c r="CE232" i="64"/>
  <c r="CE213" i="64"/>
  <c r="CE205" i="64"/>
  <c r="CE198" i="64"/>
  <c r="CE190" i="64"/>
  <c r="CE200" i="64" s="1"/>
  <c r="CE176" i="64"/>
  <c r="CE142" i="64"/>
  <c r="CE125" i="64"/>
  <c r="CE120" i="64"/>
  <c r="CE127" i="64" s="1"/>
  <c r="CE113" i="64"/>
  <c r="CE96" i="64"/>
  <c r="CE98" i="64" s="1"/>
  <c r="CE115" i="64" s="1"/>
  <c r="CE92" i="64"/>
  <c r="CE85" i="64"/>
  <c r="CE74" i="64"/>
  <c r="CE71" i="64"/>
  <c r="CE76" i="64" s="1"/>
  <c r="CE87" i="64" s="1"/>
  <c r="CE65" i="64"/>
  <c r="CE62" i="64"/>
  <c r="CE56" i="64"/>
  <c r="CE50" i="64"/>
  <c r="CE52" i="64" s="1"/>
  <c r="CE39" i="64"/>
  <c r="CE27" i="64"/>
  <c r="CE18" i="64"/>
  <c r="CE9" i="64"/>
  <c r="CE7" i="64"/>
  <c r="CE489" i="64" l="1"/>
  <c r="CE215" i="64"/>
  <c r="CE234" i="64" s="1"/>
  <c r="CE460" i="64"/>
  <c r="CE414" i="64"/>
  <c r="CE710" i="64"/>
  <c r="CE754" i="64" s="1"/>
  <c r="CE67" i="64"/>
  <c r="CE599" i="64"/>
  <c r="CE432" i="64"/>
  <c r="CE445" i="64" s="1"/>
  <c r="CE178" i="64"/>
  <c r="CE354" i="64"/>
  <c r="CE29" i="64"/>
  <c r="CE41" i="64" s="1"/>
  <c r="CE506" i="64"/>
  <c r="CE508" i="64" s="1"/>
  <c r="CE144" i="64"/>
  <c r="CE373" i="64"/>
  <c r="CE375" i="64" s="1"/>
  <c r="CE416" i="64" s="1"/>
  <c r="CE491" i="64" s="1"/>
  <c r="CE795" i="64"/>
  <c r="CE838" i="64" s="1"/>
  <c r="CE680" i="64"/>
  <c r="CE281" i="64" l="1"/>
  <c r="CA306" i="64"/>
  <c r="CA305" i="64"/>
  <c r="P39" i="53" l="1"/>
  <c r="O39" i="53"/>
  <c r="N39" i="53"/>
  <c r="I15" i="61" l="1"/>
  <c r="G15" i="61"/>
  <c r="B8" i="63"/>
  <c r="B7" i="63"/>
  <c r="B6" i="63"/>
  <c r="G60" i="53"/>
  <c r="F39" i="53"/>
  <c r="G39" i="53"/>
  <c r="O31" i="53" l="1"/>
  <c r="U41" i="53" l="1"/>
  <c r="CA920" i="64"/>
  <c r="CA922" i="64" s="1"/>
  <c r="CA911" i="64"/>
  <c r="CA913" i="64" s="1"/>
  <c r="B14" i="62" s="1"/>
  <c r="CA905" i="64"/>
  <c r="CA907" i="64" s="1"/>
  <c r="B13" i="62" s="1"/>
  <c r="CA896" i="64"/>
  <c r="CA898" i="64" s="1"/>
  <c r="B12" i="62" s="1"/>
  <c r="CA885" i="64"/>
  <c r="CA887" i="64" s="1"/>
  <c r="B11" i="62" s="1"/>
  <c r="CA879" i="64"/>
  <c r="CA881" i="64" s="1"/>
  <c r="CA863" i="64"/>
  <c r="CA865" i="64" s="1"/>
  <c r="CA866" i="64" s="1"/>
  <c r="B10" i="62" s="1"/>
  <c r="CA835" i="64"/>
  <c r="CA837" i="64" s="1"/>
  <c r="CA827" i="64"/>
  <c r="CA819" i="64"/>
  <c r="CA829" i="64" s="1"/>
  <c r="CA815" i="64"/>
  <c r="CA813" i="64"/>
  <c r="CA806" i="64"/>
  <c r="CA799" i="64"/>
  <c r="CA808" i="64" s="1"/>
  <c r="CA793" i="64"/>
  <c r="CA769" i="64"/>
  <c r="CA764" i="64"/>
  <c r="CA771" i="64" s="1"/>
  <c r="CA750" i="64"/>
  <c r="CA752" i="64" s="1"/>
  <c r="CA744" i="64"/>
  <c r="CA746" i="64" s="1"/>
  <c r="CA732" i="64"/>
  <c r="CA719" i="64"/>
  <c r="CA714" i="64"/>
  <c r="CA708" i="64"/>
  <c r="CA691" i="64"/>
  <c r="CA686" i="64"/>
  <c r="CA676" i="64"/>
  <c r="CA678" i="64" s="1"/>
  <c r="CA667" i="64"/>
  <c r="CA634" i="64"/>
  <c r="CA624" i="64"/>
  <c r="CA636" i="64" s="1"/>
  <c r="CA669" i="64" s="1"/>
  <c r="CA617" i="64"/>
  <c r="CA619" i="64" s="1"/>
  <c r="CA610" i="64"/>
  <c r="CA612" i="64" s="1"/>
  <c r="CA603" i="64"/>
  <c r="CA605" i="64" s="1"/>
  <c r="CA597" i="64"/>
  <c r="CA588" i="64"/>
  <c r="CA580" i="64"/>
  <c r="CA576" i="64"/>
  <c r="CA534" i="64"/>
  <c r="CA524" i="64"/>
  <c r="CA536" i="64" s="1"/>
  <c r="CA517" i="64"/>
  <c r="CA514" i="64"/>
  <c r="CA504" i="64"/>
  <c r="CA501" i="64"/>
  <c r="CA497" i="64"/>
  <c r="B5" i="63" s="1"/>
  <c r="CA487" i="64"/>
  <c r="CA479" i="64"/>
  <c r="CA475" i="64"/>
  <c r="CA481" i="64" s="1"/>
  <c r="CA489" i="64" s="1"/>
  <c r="CA469" i="64"/>
  <c r="CA464" i="64"/>
  <c r="CA458" i="64"/>
  <c r="CA455" i="64"/>
  <c r="CA460" i="64" s="1"/>
  <c r="CA449" i="64"/>
  <c r="CA451" i="64" s="1"/>
  <c r="CA443" i="64"/>
  <c r="CA430" i="64"/>
  <c r="CA432" i="64" s="1"/>
  <c r="CA445" i="64" s="1"/>
  <c r="CA425" i="64"/>
  <c r="CA414" i="64"/>
  <c r="CA373" i="64"/>
  <c r="CA359" i="64"/>
  <c r="CA352" i="64"/>
  <c r="CA311" i="64"/>
  <c r="CA289" i="64"/>
  <c r="CA277" i="64"/>
  <c r="CA279" i="64" s="1"/>
  <c r="CA267" i="64"/>
  <c r="CA258" i="64"/>
  <c r="CA249" i="64"/>
  <c r="CA245" i="64"/>
  <c r="CA251" i="64" s="1"/>
  <c r="CA253" i="64" s="1"/>
  <c r="CA238" i="64"/>
  <c r="CA240" i="64" s="1"/>
  <c r="CA232" i="64"/>
  <c r="CA213" i="64"/>
  <c r="CA205" i="64"/>
  <c r="CA198" i="64"/>
  <c r="CA190" i="64"/>
  <c r="CA200" i="64" s="1"/>
  <c r="CA182" i="64"/>
  <c r="CA184" i="64" s="1"/>
  <c r="CA176" i="64"/>
  <c r="CA178" i="64" s="1"/>
  <c r="CA142" i="64"/>
  <c r="CA125" i="64"/>
  <c r="CA120" i="64"/>
  <c r="CA127" i="64" s="1"/>
  <c r="CA144" i="64" s="1"/>
  <c r="CA113" i="64"/>
  <c r="CA96" i="64"/>
  <c r="CA92" i="64"/>
  <c r="CA98" i="64" s="1"/>
  <c r="CA85" i="64"/>
  <c r="CA74" i="64"/>
  <c r="CA71" i="64"/>
  <c r="CA76" i="64" s="1"/>
  <c r="CA87" i="64" s="1"/>
  <c r="CA65" i="64"/>
  <c r="CA62" i="64"/>
  <c r="CA56" i="64"/>
  <c r="CA50" i="64"/>
  <c r="CA52" i="64" s="1"/>
  <c r="CA39" i="64"/>
  <c r="CA27" i="64"/>
  <c r="CA18" i="64"/>
  <c r="CA29" i="64" s="1"/>
  <c r="CA41" i="64" s="1"/>
  <c r="CA7" i="64"/>
  <c r="CA9" i="64" s="1"/>
  <c r="CA721" i="64" l="1"/>
  <c r="CA734" i="64" s="1"/>
  <c r="CA375" i="64"/>
  <c r="CA115" i="64"/>
  <c r="CA471" i="64"/>
  <c r="CA795" i="64"/>
  <c r="CA838" i="64" s="1"/>
  <c r="B9" i="62" s="1"/>
  <c r="CA416" i="64"/>
  <c r="CA491" i="64" s="1"/>
  <c r="B6" i="62" s="1"/>
  <c r="U20" i="4"/>
  <c r="CA67" i="64"/>
  <c r="CA313" i="64"/>
  <c r="CA354" i="64" s="1"/>
  <c r="U21" i="4"/>
  <c r="CA599" i="64"/>
  <c r="CA680" i="64" s="1"/>
  <c r="B7" i="62" s="1"/>
  <c r="CA693" i="64"/>
  <c r="CA710" i="64" s="1"/>
  <c r="CA754" i="64" s="1"/>
  <c r="B8" i="62" s="1"/>
  <c r="CA519" i="64"/>
  <c r="CA582" i="64"/>
  <c r="CA215" i="64"/>
  <c r="CA234" i="64" s="1"/>
  <c r="CA269" i="64"/>
  <c r="CA281" i="64" s="1"/>
  <c r="B5" i="62" s="1"/>
  <c r="CA506" i="64"/>
  <c r="CA508" i="64" s="1"/>
  <c r="U56" i="4" l="1"/>
  <c r="B15" i="62"/>
  <c r="BZ475" i="64"/>
  <c r="BZ479" i="64"/>
  <c r="BW188" i="64" l="1"/>
  <c r="L23" i="53" l="1"/>
  <c r="BV304" i="64" l="1"/>
  <c r="BV499" i="64"/>
  <c r="BV503" i="64"/>
  <c r="BV496" i="64"/>
  <c r="BW160" i="64"/>
  <c r="G23" i="53" l="1"/>
  <c r="I39" i="53" l="1"/>
  <c r="BV262" i="64" l="1"/>
  <c r="BW263" i="64"/>
  <c r="BW264" i="64"/>
  <c r="BW265" i="64"/>
  <c r="BW274" i="64"/>
  <c r="BW275" i="64"/>
  <c r="H277" i="64"/>
  <c r="I277" i="64"/>
  <c r="M277" i="64"/>
  <c r="N277" i="64"/>
  <c r="P277" i="64"/>
  <c r="R277" i="64"/>
  <c r="S277" i="64"/>
  <c r="U277" i="64"/>
  <c r="V277" i="64"/>
  <c r="Z277" i="64"/>
  <c r="AA277" i="64"/>
  <c r="AE277" i="64"/>
  <c r="AF277" i="64"/>
  <c r="AI277" i="64"/>
  <c r="AM277" i="64"/>
  <c r="AN277" i="64"/>
  <c r="AR277" i="64"/>
  <c r="AS277" i="64"/>
  <c r="AV277" i="64"/>
  <c r="AZ277" i="64"/>
  <c r="BA277" i="64"/>
  <c r="BE277" i="64"/>
  <c r="BF277" i="64"/>
  <c r="BH277" i="64"/>
  <c r="BI277" i="64"/>
  <c r="BM277" i="64"/>
  <c r="BN277" i="64"/>
  <c r="BR277" i="64"/>
  <c r="BS277" i="64"/>
  <c r="BU277" i="64"/>
  <c r="BV277" i="64"/>
  <c r="BZ277" i="64"/>
  <c r="CF277" i="64"/>
  <c r="BS879" i="64" l="1"/>
  <c r="BS881" i="64" s="1"/>
  <c r="BS945" i="64"/>
  <c r="BS947" i="64" s="1"/>
  <c r="BS65" i="64"/>
  <c r="BS62" i="64"/>
  <c r="BS56" i="64"/>
  <c r="BS50" i="64"/>
  <c r="BS52" i="64" s="1"/>
  <c r="BS39" i="64"/>
  <c r="BS27" i="64"/>
  <c r="BS18" i="64"/>
  <c r="BS7" i="64"/>
  <c r="BS9" i="64" s="1"/>
  <c r="BS835" i="64"/>
  <c r="BS837" i="64" s="1"/>
  <c r="BS920" i="64"/>
  <c r="BS922" i="64" s="1"/>
  <c r="BS911" i="64"/>
  <c r="BS913" i="64" s="1"/>
  <c r="BS905" i="64"/>
  <c r="BS907" i="64" s="1"/>
  <c r="BS863" i="64"/>
  <c r="BS865" i="64" s="1"/>
  <c r="BS866" i="64" s="1"/>
  <c r="BS827" i="64"/>
  <c r="BS819" i="64"/>
  <c r="BS813" i="64"/>
  <c r="BS815" i="64" s="1"/>
  <c r="BS806" i="64"/>
  <c r="BS799" i="64"/>
  <c r="BS793" i="64"/>
  <c r="BS769" i="64"/>
  <c r="BS764" i="64"/>
  <c r="BS750" i="64"/>
  <c r="BS752" i="64" s="1"/>
  <c r="BS744" i="64"/>
  <c r="BS746" i="64" s="1"/>
  <c r="BS732" i="64"/>
  <c r="BS719" i="64"/>
  <c r="BS714" i="64"/>
  <c r="BS708" i="64"/>
  <c r="BS691" i="64"/>
  <c r="BS686" i="64"/>
  <c r="BS676" i="64"/>
  <c r="BS678" i="64" s="1"/>
  <c r="BS667" i="64"/>
  <c r="BS634" i="64"/>
  <c r="BS624" i="64"/>
  <c r="BS636" i="64" s="1"/>
  <c r="BS617" i="64"/>
  <c r="BS619" i="64" s="1"/>
  <c r="BS610" i="64"/>
  <c r="BS612" i="64" s="1"/>
  <c r="BS603" i="64"/>
  <c r="BS605" i="64" s="1"/>
  <c r="BS597" i="64"/>
  <c r="BS588" i="64"/>
  <c r="BS576" i="64"/>
  <c r="BS534" i="64"/>
  <c r="BS599" i="64" l="1"/>
  <c r="BS693" i="64"/>
  <c r="BS771" i="64"/>
  <c r="BS795" i="64" s="1"/>
  <c r="BS67" i="64"/>
  <c r="BS829" i="64"/>
  <c r="BS29" i="64"/>
  <c r="BS41" i="64" s="1"/>
  <c r="BS721" i="64"/>
  <c r="BS734" i="64" s="1"/>
  <c r="BS710" i="64"/>
  <c r="BS808" i="64"/>
  <c r="BS838" i="64" s="1"/>
  <c r="BS754" i="64" l="1"/>
  <c r="BS524" i="64"/>
  <c r="BS536" i="64" s="1"/>
  <c r="BS517" i="64"/>
  <c r="BS514" i="64"/>
  <c r="BS504" i="64"/>
  <c r="BS501" i="64"/>
  <c r="BS497" i="64"/>
  <c r="BS487" i="64"/>
  <c r="BS479" i="64"/>
  <c r="BS475" i="64"/>
  <c r="BS469" i="64"/>
  <c r="BS464" i="64"/>
  <c r="BS458" i="64"/>
  <c r="BS455" i="64"/>
  <c r="BS460" i="64" s="1"/>
  <c r="BS449" i="64"/>
  <c r="BS451" i="64" s="1"/>
  <c r="BS430" i="64"/>
  <c r="BS425" i="64"/>
  <c r="BS432" i="64" s="1"/>
  <c r="BS414" i="64"/>
  <c r="BS363" i="64"/>
  <c r="BS373" i="64" s="1"/>
  <c r="BS359" i="64"/>
  <c r="BS352" i="64"/>
  <c r="BS279" i="64"/>
  <c r="BS267" i="64"/>
  <c r="BS258" i="64"/>
  <c r="BS249" i="64"/>
  <c r="BS245" i="64"/>
  <c r="BS232" i="64"/>
  <c r="BS213" i="64"/>
  <c r="BS519" i="64" l="1"/>
  <c r="BS269" i="64"/>
  <c r="BS251" i="64"/>
  <c r="BS253" i="64" s="1"/>
  <c r="BS375" i="64"/>
  <c r="BS416" i="64" s="1"/>
  <c r="BS481" i="64"/>
  <c r="BS489" i="64" s="1"/>
  <c r="BS506" i="64"/>
  <c r="BS508" i="64" s="1"/>
  <c r="BS471" i="64"/>
  <c r="BS205" i="64"/>
  <c r="BS215" i="64" s="1"/>
  <c r="BS234" i="64" s="1"/>
  <c r="BS198" i="64"/>
  <c r="BS190" i="64"/>
  <c r="BS182" i="64"/>
  <c r="BS184" i="64" s="1"/>
  <c r="BS176" i="64"/>
  <c r="BS178" i="64" s="1"/>
  <c r="BS142" i="64"/>
  <c r="BS125" i="64"/>
  <c r="BS120" i="64"/>
  <c r="BS96" i="64"/>
  <c r="BS92" i="64"/>
  <c r="BS98" i="64" s="1"/>
  <c r="BS71" i="64"/>
  <c r="BS74" i="64"/>
  <c r="BS85" i="64"/>
  <c r="BS76" i="64" l="1"/>
  <c r="BS87" i="64" s="1"/>
  <c r="BS127" i="64"/>
  <c r="BS144" i="64" s="1"/>
  <c r="BS200" i="64"/>
  <c r="BV627" i="64" l="1"/>
  <c r="L39" i="53" l="1"/>
  <c r="K39" i="53"/>
  <c r="J39" i="53"/>
  <c r="F62" i="53" l="1"/>
  <c r="L40" i="53"/>
  <c r="E15" i="61" s="1"/>
  <c r="BV302" i="64"/>
  <c r="BV301" i="64"/>
  <c r="BS311" i="64" l="1"/>
  <c r="BS289" i="64"/>
  <c r="BR289" i="64"/>
  <c r="BS313" i="64" l="1"/>
  <c r="BS354" i="64" s="1"/>
  <c r="G40" i="53"/>
  <c r="BW325" i="64" l="1"/>
  <c r="BX325" i="64"/>
  <c r="BW326" i="64"/>
  <c r="BX326" i="64" s="1"/>
  <c r="BX674" i="64" l="1"/>
  <c r="BX673" i="64"/>
  <c r="BW675" i="64"/>
  <c r="BX675" i="64" s="1"/>
  <c r="BW674" i="64"/>
  <c r="BW673" i="64"/>
  <c r="BJ675" i="64"/>
  <c r="BJ674" i="64"/>
  <c r="BV718" i="64" l="1"/>
  <c r="BV219" i="64" l="1"/>
  <c r="BW545" i="64"/>
  <c r="BX545" i="64"/>
  <c r="BW546" i="64"/>
  <c r="BX546" i="64"/>
  <c r="BW547" i="64"/>
  <c r="BX547" i="64"/>
  <c r="BW548" i="64"/>
  <c r="BX548" i="64" s="1"/>
  <c r="BW549" i="64"/>
  <c r="BX549" i="64" s="1"/>
  <c r="I60" i="53" l="1"/>
  <c r="I62" i="53" s="1"/>
  <c r="BV759" i="64" l="1"/>
  <c r="W32" i="1" l="1"/>
  <c r="U32" i="1"/>
  <c r="AE18" i="1" l="1"/>
  <c r="AE16" i="1"/>
  <c r="AE15" i="1"/>
  <c r="AE14" i="1"/>
  <c r="AE13" i="1"/>
  <c r="AE12" i="1"/>
  <c r="AE11" i="1"/>
  <c r="AE10" i="1"/>
  <c r="AD18" i="1"/>
  <c r="AC18" i="1"/>
  <c r="BW740" i="64" l="1"/>
  <c r="BW543" i="64"/>
  <c r="BX543" i="64" s="1"/>
  <c r="BW544" i="64"/>
  <c r="BW550" i="64"/>
  <c r="BW551" i="64"/>
  <c r="BX551" i="64" s="1"/>
  <c r="BW552" i="64"/>
  <c r="BX552" i="64" s="1"/>
  <c r="BW553" i="64"/>
  <c r="BX553" i="64" s="1"/>
  <c r="BW554" i="64"/>
  <c r="BX554" i="64" s="1"/>
  <c r="BW555" i="64"/>
  <c r="BW556" i="64"/>
  <c r="BX556" i="64" s="1"/>
  <c r="BW557" i="64"/>
  <c r="BX557" i="64" s="1"/>
  <c r="BW558" i="64"/>
  <c r="BX558" i="64" s="1"/>
  <c r="BW559" i="64"/>
  <c r="BX559" i="64" s="1"/>
  <c r="BW560" i="64"/>
  <c r="BW561" i="64"/>
  <c r="BW562" i="64"/>
  <c r="BX562" i="64" s="1"/>
  <c r="BW563" i="64"/>
  <c r="BX563" i="64" s="1"/>
  <c r="BW564" i="64"/>
  <c r="BX564" i="64" s="1"/>
  <c r="BW565" i="64"/>
  <c r="BX565" i="64" s="1"/>
  <c r="BW566" i="64"/>
  <c r="BX566" i="64" s="1"/>
  <c r="BW567" i="64"/>
  <c r="BW568" i="64"/>
  <c r="BX568" i="64" s="1"/>
  <c r="BW569" i="64"/>
  <c r="BX569" i="64" s="1"/>
  <c r="BW570" i="64"/>
  <c r="BX570" i="64" s="1"/>
  <c r="BW571" i="64"/>
  <c r="BW572" i="64"/>
  <c r="BX572" i="64" s="1"/>
  <c r="BW573" i="64"/>
  <c r="BW574" i="64"/>
  <c r="BW575" i="64"/>
  <c r="BX575" i="64" s="1"/>
  <c r="BW351" i="64"/>
  <c r="BW350" i="64"/>
  <c r="BW130" i="64"/>
  <c r="BW103" i="64"/>
  <c r="BW24" i="64"/>
  <c r="S30" i="1"/>
  <c r="S16" i="1"/>
  <c r="S6" i="1"/>
  <c r="S8" i="1" s="1"/>
  <c r="N8" i="1"/>
  <c r="M8" i="1"/>
  <c r="P6" i="1"/>
  <c r="P8" i="1" s="1"/>
  <c r="N6" i="1"/>
  <c r="M6" i="1"/>
  <c r="J6" i="1"/>
  <c r="J8" i="1" s="1"/>
  <c r="I6" i="1"/>
  <c r="I8" i="1" s="1"/>
  <c r="H6" i="1"/>
  <c r="H8" i="1" s="1"/>
  <c r="K8" i="1" s="1"/>
  <c r="W24" i="1"/>
  <c r="W23" i="1"/>
  <c r="W22" i="1"/>
  <c r="W21" i="1"/>
  <c r="W15" i="1"/>
  <c r="X15" i="1" s="1"/>
  <c r="W14" i="1"/>
  <c r="W13" i="1"/>
  <c r="W12" i="1"/>
  <c r="W5" i="1"/>
  <c r="W6" i="1" s="1"/>
  <c r="W8" i="1" s="1"/>
  <c r="W11" i="1"/>
  <c r="U5" i="1"/>
  <c r="U6" i="1" s="1"/>
  <c r="U8" i="1" s="1"/>
  <c r="U11" i="1"/>
  <c r="U12" i="1"/>
  <c r="U13" i="1"/>
  <c r="U14" i="1"/>
  <c r="X14" i="1" s="1"/>
  <c r="U15" i="1"/>
  <c r="U21" i="1"/>
  <c r="X21" i="1" s="1"/>
  <c r="U22" i="1"/>
  <c r="U25" i="1" s="1"/>
  <c r="U27" i="1" s="1"/>
  <c r="U23" i="1"/>
  <c r="X23" i="1" s="1"/>
  <c r="U24" i="1"/>
  <c r="X24" i="1" s="1"/>
  <c r="O364" i="3"/>
  <c r="O363" i="3"/>
  <c r="O362" i="3"/>
  <c r="O361" i="3"/>
  <c r="O161" i="3"/>
  <c r="O162" i="3" s="1"/>
  <c r="O8" i="3"/>
  <c r="O10" i="3" s="1"/>
  <c r="N364" i="3"/>
  <c r="N363" i="3"/>
  <c r="N362" i="3"/>
  <c r="N361" i="3"/>
  <c r="N161" i="3"/>
  <c r="N8" i="3"/>
  <c r="L364" i="3"/>
  <c r="L363" i="3"/>
  <c r="L362" i="3"/>
  <c r="L361" i="3"/>
  <c r="L161" i="3"/>
  <c r="L162" i="3" s="1"/>
  <c r="L8" i="3"/>
  <c r="L10" i="3" s="1"/>
  <c r="K364" i="3"/>
  <c r="K363" i="3"/>
  <c r="K362" i="3"/>
  <c r="K361" i="3"/>
  <c r="K161" i="3"/>
  <c r="K162" i="3" s="1"/>
  <c r="K8" i="3"/>
  <c r="K10" i="3" s="1"/>
  <c r="J364" i="3"/>
  <c r="J363" i="3"/>
  <c r="J362" i="3"/>
  <c r="J361" i="3"/>
  <c r="J161" i="3"/>
  <c r="J162" i="3" s="1"/>
  <c r="J8" i="3"/>
  <c r="J10" i="3" s="1"/>
  <c r="I161" i="3"/>
  <c r="I162" i="3" s="1"/>
  <c r="I8" i="3"/>
  <c r="I10" i="3" s="1"/>
  <c r="I364" i="3"/>
  <c r="I363" i="3"/>
  <c r="I361" i="3"/>
  <c r="I362" i="3"/>
  <c r="AH754" i="64"/>
  <c r="BS669" i="64"/>
  <c r="H161" i="3"/>
  <c r="H8" i="3"/>
  <c r="CF896" i="64"/>
  <c r="CF898" i="64" s="1"/>
  <c r="BZ896" i="64"/>
  <c r="N340" i="3" s="1"/>
  <c r="BV896" i="64"/>
  <c r="BV898" i="64" s="1"/>
  <c r="BU896" i="64"/>
  <c r="BS896" i="64"/>
  <c r="BS898" i="64" s="1"/>
  <c r="BR896" i="64"/>
  <c r="BN896" i="64"/>
  <c r="BN898" i="64" s="1"/>
  <c r="BM896" i="64"/>
  <c r="BM898" i="64" s="1"/>
  <c r="BI896" i="64"/>
  <c r="BI898" i="64" s="1"/>
  <c r="BH896" i="64"/>
  <c r="BH898" i="64" s="1"/>
  <c r="BF896" i="64"/>
  <c r="K340" i="3" s="1"/>
  <c r="K342" i="3" s="1"/>
  <c r="BE896" i="64"/>
  <c r="BE898" i="64" s="1"/>
  <c r="BA896" i="64"/>
  <c r="BA898" i="64" s="1"/>
  <c r="AZ896" i="64"/>
  <c r="AZ898" i="64" s="1"/>
  <c r="AV896" i="64"/>
  <c r="AS896" i="64"/>
  <c r="AS898" i="64" s="1"/>
  <c r="AI896" i="64"/>
  <c r="AI898" i="64" s="1"/>
  <c r="AH896" i="64"/>
  <c r="AF896" i="64"/>
  <c r="Z896" i="64"/>
  <c r="Z898" i="64" s="1"/>
  <c r="V896" i="64"/>
  <c r="V898" i="64" s="1"/>
  <c r="S896" i="64"/>
  <c r="S898" i="64" s="1"/>
  <c r="N896" i="64"/>
  <c r="N898" i="64" s="1"/>
  <c r="M896" i="64"/>
  <c r="M898" i="64" s="1"/>
  <c r="I896" i="64"/>
  <c r="I898" i="64" s="1"/>
  <c r="H896" i="64"/>
  <c r="H898" i="64" s="1"/>
  <c r="CF885" i="64"/>
  <c r="CF887" i="64" s="1"/>
  <c r="BZ885" i="64"/>
  <c r="BV885" i="64"/>
  <c r="BV887" i="64" s="1"/>
  <c r="BU885" i="64"/>
  <c r="BU887" i="64" s="1"/>
  <c r="BS885" i="64"/>
  <c r="BS887" i="64" s="1"/>
  <c r="BR885" i="64"/>
  <c r="BN885" i="64"/>
  <c r="BN887" i="64" s="1"/>
  <c r="BM885" i="64"/>
  <c r="BM887" i="64" s="1"/>
  <c r="BI885" i="64"/>
  <c r="BI887" i="64" s="1"/>
  <c r="BH885" i="64"/>
  <c r="BH887" i="64" s="1"/>
  <c r="BF885" i="64"/>
  <c r="BE885" i="64"/>
  <c r="BE887" i="64" s="1"/>
  <c r="BA885" i="64"/>
  <c r="BA887" i="64" s="1"/>
  <c r="AZ885" i="64"/>
  <c r="AZ887" i="64" s="1"/>
  <c r="AV885" i="64"/>
  <c r="AV887" i="64" s="1"/>
  <c r="AS885" i="64"/>
  <c r="AS887" i="64" s="1"/>
  <c r="AR885" i="64"/>
  <c r="AR887" i="64" s="1"/>
  <c r="AN885" i="64"/>
  <c r="AN887" i="64" s="1"/>
  <c r="AM885" i="64"/>
  <c r="AM887" i="64" s="1"/>
  <c r="AI885" i="64"/>
  <c r="AI887" i="64" s="1"/>
  <c r="AH885" i="64"/>
  <c r="AF885" i="64"/>
  <c r="AF887" i="64" s="1"/>
  <c r="AE885" i="64"/>
  <c r="AE887" i="64" s="1"/>
  <c r="AA885" i="64"/>
  <c r="AA887" i="64" s="1"/>
  <c r="Z885" i="64"/>
  <c r="Z887" i="64" s="1"/>
  <c r="V885" i="64"/>
  <c r="V887" i="64" s="1"/>
  <c r="U885" i="64"/>
  <c r="U887" i="64" s="1"/>
  <c r="S885" i="64"/>
  <c r="S887" i="64" s="1"/>
  <c r="R885" i="64"/>
  <c r="R887" i="64" s="1"/>
  <c r="N885" i="64"/>
  <c r="N887" i="64" s="1"/>
  <c r="M885" i="64"/>
  <c r="M887" i="64" s="1"/>
  <c r="I885" i="64"/>
  <c r="I887" i="64" s="1"/>
  <c r="H885" i="64"/>
  <c r="H887" i="64" s="1"/>
  <c r="BZ898" i="64"/>
  <c r="BP888" i="64"/>
  <c r="BC888" i="64"/>
  <c r="AP888" i="64"/>
  <c r="P885" i="64"/>
  <c r="P887" i="64" s="1"/>
  <c r="BW884" i="64"/>
  <c r="BX884" i="64" s="1"/>
  <c r="BJ884" i="64"/>
  <c r="BK884" i="64" s="1"/>
  <c r="AU884" i="64"/>
  <c r="AW884" i="64" s="1"/>
  <c r="AX884" i="64" s="1"/>
  <c r="AJ884" i="64"/>
  <c r="AJ885" i="64" s="1"/>
  <c r="AJ887" i="64" s="1"/>
  <c r="AK887" i="64" s="1"/>
  <c r="W884" i="64"/>
  <c r="X884" i="64" s="1"/>
  <c r="J884" i="64"/>
  <c r="J885" i="64" s="1"/>
  <c r="J887" i="64" s="1"/>
  <c r="J5" i="1"/>
  <c r="K5" i="1" s="1"/>
  <c r="J11" i="1"/>
  <c r="K11" i="1" s="1"/>
  <c r="J12" i="1"/>
  <c r="K12" i="1" s="1"/>
  <c r="J13" i="1"/>
  <c r="K13" i="1" s="1"/>
  <c r="J14" i="1"/>
  <c r="K14" i="1" s="1"/>
  <c r="J15" i="1"/>
  <c r="K15" i="1" s="1"/>
  <c r="H16" i="1"/>
  <c r="H18" i="1" s="1"/>
  <c r="I16" i="1"/>
  <c r="I18" i="1" s="1"/>
  <c r="M16" i="1"/>
  <c r="M18" i="1" s="1"/>
  <c r="N16" i="1"/>
  <c r="N18" i="1" s="1"/>
  <c r="P16" i="1"/>
  <c r="P18" i="1" s="1"/>
  <c r="J21" i="1"/>
  <c r="K21" i="1" s="1"/>
  <c r="J22" i="1"/>
  <c r="K22" i="1" s="1"/>
  <c r="J23" i="1"/>
  <c r="K23" i="1" s="1"/>
  <c r="J24" i="1"/>
  <c r="K24" i="1" s="1"/>
  <c r="H25" i="1"/>
  <c r="H27" i="1" s="1"/>
  <c r="I25" i="1"/>
  <c r="I27" i="1" s="1"/>
  <c r="M25" i="1"/>
  <c r="M27" i="1" s="1"/>
  <c r="N25" i="1"/>
  <c r="N27" i="1" s="1"/>
  <c r="P25" i="1"/>
  <c r="P27" i="1" s="1"/>
  <c r="S25" i="1"/>
  <c r="S27" i="1" s="1"/>
  <c r="CF931" i="64"/>
  <c r="CF935" i="64" s="1"/>
  <c r="CF938" i="64" s="1"/>
  <c r="CF920" i="64"/>
  <c r="CF922" i="64" s="1"/>
  <c r="BZ920" i="64"/>
  <c r="BV920" i="64"/>
  <c r="BV922" i="64" s="1"/>
  <c r="BU920" i="64"/>
  <c r="BR920" i="64"/>
  <c r="BN920" i="64"/>
  <c r="BN922" i="64" s="1"/>
  <c r="BM920" i="64"/>
  <c r="BM922" i="64" s="1"/>
  <c r="BI920" i="64"/>
  <c r="BI922" i="64" s="1"/>
  <c r="BH920" i="64"/>
  <c r="BF920" i="64"/>
  <c r="BE920" i="64"/>
  <c r="BE922" i="64" s="1"/>
  <c r="BA920" i="64"/>
  <c r="BA922" i="64" s="1"/>
  <c r="AZ920" i="64"/>
  <c r="AZ922" i="64" s="1"/>
  <c r="AV920" i="64"/>
  <c r="AV922" i="64" s="1"/>
  <c r="AU920" i="64"/>
  <c r="AU922" i="64" s="1"/>
  <c r="AS920" i="64"/>
  <c r="AR920" i="64"/>
  <c r="AR922" i="64" s="1"/>
  <c r="AN920" i="64"/>
  <c r="AN922" i="64" s="1"/>
  <c r="AM920" i="64"/>
  <c r="AM922" i="64" s="1"/>
  <c r="AI920" i="64"/>
  <c r="AI922" i="64" s="1"/>
  <c r="AH920" i="64"/>
  <c r="AF920" i="64"/>
  <c r="AE920" i="64"/>
  <c r="AE922" i="64" s="1"/>
  <c r="AA920" i="64"/>
  <c r="AA922" i="64" s="1"/>
  <c r="Z920" i="64"/>
  <c r="Z922" i="64" s="1"/>
  <c r="V920" i="64"/>
  <c r="V922" i="64" s="1"/>
  <c r="U920" i="64"/>
  <c r="X920" i="64" s="1"/>
  <c r="S920" i="64"/>
  <c r="R920" i="64"/>
  <c r="R922" i="64" s="1"/>
  <c r="P920" i="64"/>
  <c r="P922" i="64" s="1"/>
  <c r="N920" i="64"/>
  <c r="N922" i="64" s="1"/>
  <c r="M920" i="64"/>
  <c r="M922" i="64" s="1"/>
  <c r="I920" i="64"/>
  <c r="I922" i="64" s="1"/>
  <c r="H920" i="64"/>
  <c r="BW919" i="64"/>
  <c r="M364" i="3" s="1"/>
  <c r="BJ919" i="64"/>
  <c r="AW919" i="64"/>
  <c r="AK919" i="64"/>
  <c r="AJ919" i="64"/>
  <c r="X919" i="64"/>
  <c r="W919" i="64"/>
  <c r="J919" i="64"/>
  <c r="BW918" i="64"/>
  <c r="M363" i="3" s="1"/>
  <c r="BJ918" i="64"/>
  <c r="AW918" i="64"/>
  <c r="AK918" i="64"/>
  <c r="AJ918" i="64"/>
  <c r="X918" i="64"/>
  <c r="W918" i="64"/>
  <c r="J918" i="64"/>
  <c r="BW917" i="64"/>
  <c r="M362" i="3" s="1"/>
  <c r="BJ917" i="64"/>
  <c r="AW917" i="64"/>
  <c r="AK917" i="64"/>
  <c r="AJ917" i="64"/>
  <c r="X917" i="64"/>
  <c r="W917" i="64"/>
  <c r="J917" i="64"/>
  <c r="BX916" i="64"/>
  <c r="BW916" i="64"/>
  <c r="M361" i="3" s="1"/>
  <c r="BK916" i="64"/>
  <c r="BJ916" i="64"/>
  <c r="AX916" i="64"/>
  <c r="AW916" i="64"/>
  <c r="AK916" i="64"/>
  <c r="AJ916" i="64"/>
  <c r="X916" i="64"/>
  <c r="W916" i="64"/>
  <c r="J916" i="64"/>
  <c r="CF911" i="64"/>
  <c r="CF913" i="64" s="1"/>
  <c r="BZ911" i="64"/>
  <c r="BV911" i="64"/>
  <c r="BV913" i="64" s="1"/>
  <c r="BU911" i="64"/>
  <c r="BR911" i="64"/>
  <c r="BN911" i="64"/>
  <c r="BN913" i="64" s="1"/>
  <c r="BM911" i="64"/>
  <c r="BM913" i="64" s="1"/>
  <c r="BI911" i="64"/>
  <c r="BI913" i="64" s="1"/>
  <c r="BH911" i="64"/>
  <c r="BH913" i="64" s="1"/>
  <c r="BF911" i="64"/>
  <c r="BE911" i="64"/>
  <c r="BE913" i="64" s="1"/>
  <c r="BA911" i="64"/>
  <c r="BA913" i="64" s="1"/>
  <c r="AZ911" i="64"/>
  <c r="AZ913" i="64" s="1"/>
  <c r="AV911" i="64"/>
  <c r="AV913" i="64" s="1"/>
  <c r="AS911" i="64"/>
  <c r="AS913" i="64" s="1"/>
  <c r="AN911" i="64"/>
  <c r="AN913" i="64" s="1"/>
  <c r="AM911" i="64"/>
  <c r="AM913" i="64" s="1"/>
  <c r="AI911" i="64"/>
  <c r="AI913" i="64" s="1"/>
  <c r="AF911" i="64"/>
  <c r="AF913" i="64" s="1"/>
  <c r="AE911" i="64"/>
  <c r="AE913" i="64" s="1"/>
  <c r="AA911" i="64"/>
  <c r="AA913" i="64" s="1"/>
  <c r="Z911" i="64"/>
  <c r="Z913" i="64" s="1"/>
  <c r="V911" i="64"/>
  <c r="V913" i="64" s="1"/>
  <c r="U911" i="64"/>
  <c r="S911" i="64"/>
  <c r="S913" i="64" s="1"/>
  <c r="P911" i="64"/>
  <c r="P913" i="64" s="1"/>
  <c r="N911" i="64"/>
  <c r="N913" i="64" s="1"/>
  <c r="M911" i="64"/>
  <c r="M913" i="64" s="1"/>
  <c r="J911" i="64"/>
  <c r="J913" i="64" s="1"/>
  <c r="I911" i="64"/>
  <c r="I913" i="64" s="1"/>
  <c r="H911" i="64"/>
  <c r="BW910" i="64"/>
  <c r="BJ910" i="64"/>
  <c r="AR910" i="64"/>
  <c r="AR911" i="64" s="1"/>
  <c r="AR913" i="64" s="1"/>
  <c r="AJ910" i="64"/>
  <c r="AK910" i="64" s="1"/>
  <c r="X910" i="64"/>
  <c r="W910" i="64"/>
  <c r="W911" i="64" s="1"/>
  <c r="W913" i="64" s="1"/>
  <c r="R910" i="64"/>
  <c r="R911" i="64" s="1"/>
  <c r="R913" i="64" s="1"/>
  <c r="K910" i="64"/>
  <c r="CF905" i="64"/>
  <c r="CF907" i="64" s="1"/>
  <c r="BZ905" i="64"/>
  <c r="BZ907" i="64" s="1"/>
  <c r="BV905" i="64"/>
  <c r="BV907" i="64" s="1"/>
  <c r="BU905" i="64"/>
  <c r="BU907" i="64" s="1"/>
  <c r="BR905" i="64"/>
  <c r="BN905" i="64"/>
  <c r="BN907" i="64" s="1"/>
  <c r="BM905" i="64"/>
  <c r="BM907" i="64" s="1"/>
  <c r="BI905" i="64"/>
  <c r="BI907" i="64" s="1"/>
  <c r="BH905" i="64"/>
  <c r="BH907" i="64" s="1"/>
  <c r="BF905" i="64"/>
  <c r="BE905" i="64"/>
  <c r="BE907" i="64" s="1"/>
  <c r="BA905" i="64"/>
  <c r="BA907" i="64" s="1"/>
  <c r="AZ905" i="64"/>
  <c r="AZ907" i="64" s="1"/>
  <c r="AV905" i="64"/>
  <c r="AV907" i="64" s="1"/>
  <c r="AS905" i="64"/>
  <c r="AS907" i="64" s="1"/>
  <c r="AI905" i="64"/>
  <c r="AI907" i="64" s="1"/>
  <c r="AF905" i="64"/>
  <c r="Z905" i="64"/>
  <c r="Z907" i="64" s="1"/>
  <c r="V905" i="64"/>
  <c r="V907" i="64" s="1"/>
  <c r="U905" i="64"/>
  <c r="U907" i="64" s="1"/>
  <c r="S905" i="64"/>
  <c r="S907" i="64" s="1"/>
  <c r="R905" i="64"/>
  <c r="R907" i="64" s="1"/>
  <c r="P905" i="64"/>
  <c r="P907" i="64" s="1"/>
  <c r="N905" i="64"/>
  <c r="N907" i="64" s="1"/>
  <c r="M905" i="64"/>
  <c r="M907" i="64" s="1"/>
  <c r="I905" i="64"/>
  <c r="I907" i="64" s="1"/>
  <c r="H905" i="64"/>
  <c r="H907" i="64" s="1"/>
  <c r="BW904" i="64"/>
  <c r="BX904" i="64" s="1"/>
  <c r="BJ904" i="64"/>
  <c r="BK904" i="64" s="1"/>
  <c r="AU904" i="64"/>
  <c r="AW904" i="64" s="1"/>
  <c r="AJ904" i="64"/>
  <c r="AK904" i="64" s="1"/>
  <c r="W904" i="64"/>
  <c r="J904" i="64"/>
  <c r="BW903" i="64"/>
  <c r="BX903" i="64" s="1"/>
  <c r="BJ903" i="64"/>
  <c r="BK903" i="64" s="1"/>
  <c r="AU903" i="64"/>
  <c r="AW903" i="64" s="1"/>
  <c r="AX903" i="64" s="1"/>
  <c r="AJ903" i="64"/>
  <c r="W903" i="64"/>
  <c r="X903" i="64" s="1"/>
  <c r="J903" i="64"/>
  <c r="K903" i="64" s="1"/>
  <c r="BW902" i="64"/>
  <c r="BX902" i="64" s="1"/>
  <c r="BJ902" i="64"/>
  <c r="BK902" i="64" s="1"/>
  <c r="AR902" i="64"/>
  <c r="AU902" i="64" s="1"/>
  <c r="AN902" i="64"/>
  <c r="AM902" i="64"/>
  <c r="AJ902" i="64"/>
  <c r="AK902" i="64" s="1"/>
  <c r="AE902" i="64"/>
  <c r="AA902" i="64"/>
  <c r="W902" i="64"/>
  <c r="X902" i="64" s="1"/>
  <c r="J902" i="64"/>
  <c r="K902" i="64" s="1"/>
  <c r="BW901" i="64"/>
  <c r="BJ901" i="64"/>
  <c r="AR901" i="64"/>
  <c r="AN901" i="64"/>
  <c r="AM901" i="64"/>
  <c r="AJ901" i="64"/>
  <c r="AK901" i="64" s="1"/>
  <c r="AE901" i="64"/>
  <c r="AA901" i="64"/>
  <c r="W901" i="64"/>
  <c r="X901" i="64" s="1"/>
  <c r="J901" i="64"/>
  <c r="K901" i="64" s="1"/>
  <c r="AV898" i="64"/>
  <c r="P896" i="64"/>
  <c r="P898" i="64" s="1"/>
  <c r="BW895" i="64"/>
  <c r="BX895" i="64" s="1"/>
  <c r="BJ895" i="64"/>
  <c r="BK895" i="64" s="1"/>
  <c r="AU895" i="64"/>
  <c r="AW895" i="64" s="1"/>
  <c r="AX895" i="64" s="1"/>
  <c r="AJ895" i="64"/>
  <c r="AK895" i="64" s="1"/>
  <c r="W895" i="64"/>
  <c r="X895" i="64" s="1"/>
  <c r="J895" i="64"/>
  <c r="K895" i="64" s="1"/>
  <c r="BW894" i="64"/>
  <c r="BX894" i="64" s="1"/>
  <c r="BJ894" i="64"/>
  <c r="BK894" i="64" s="1"/>
  <c r="AU894" i="64"/>
  <c r="AW894" i="64" s="1"/>
  <c r="AJ894" i="64"/>
  <c r="AK894" i="64" s="1"/>
  <c r="W894" i="64"/>
  <c r="X894" i="64" s="1"/>
  <c r="J894" i="64"/>
  <c r="K894" i="64" s="1"/>
  <c r="BW893" i="64"/>
  <c r="BX893" i="64" s="1"/>
  <c r="BJ893" i="64"/>
  <c r="BK893" i="64" s="1"/>
  <c r="AR893" i="64"/>
  <c r="AU893" i="64" s="1"/>
  <c r="AN893" i="64"/>
  <c r="AN896" i="64" s="1"/>
  <c r="AM893" i="64"/>
  <c r="AJ893" i="64"/>
  <c r="AK893" i="64" s="1"/>
  <c r="AE893" i="64"/>
  <c r="AE896" i="64" s="1"/>
  <c r="AA893" i="64"/>
  <c r="W893" i="64"/>
  <c r="X893" i="64" s="1"/>
  <c r="J893" i="64"/>
  <c r="K893" i="64" s="1"/>
  <c r="BW892" i="64"/>
  <c r="BX892" i="64" s="1"/>
  <c r="BJ892" i="64"/>
  <c r="BK892" i="64" s="1"/>
  <c r="AU892" i="64"/>
  <c r="AW892" i="64" s="1"/>
  <c r="AJ892" i="64"/>
  <c r="AK892" i="64" s="1"/>
  <c r="W892" i="64"/>
  <c r="X892" i="64" s="1"/>
  <c r="J892" i="64"/>
  <c r="K892" i="64" s="1"/>
  <c r="BW891" i="64"/>
  <c r="BX891" i="64" s="1"/>
  <c r="BJ891" i="64"/>
  <c r="BK891" i="64" s="1"/>
  <c r="AU891" i="64"/>
  <c r="AJ891" i="64"/>
  <c r="AK891" i="64" s="1"/>
  <c r="U891" i="64"/>
  <c r="U896" i="64" s="1"/>
  <c r="R891" i="64"/>
  <c r="J891" i="64"/>
  <c r="K891" i="64" s="1"/>
  <c r="BX890" i="64"/>
  <c r="BW890" i="64"/>
  <c r="BK890" i="64"/>
  <c r="BJ890" i="64"/>
  <c r="AU890" i="64"/>
  <c r="AK890" i="64"/>
  <c r="AJ890" i="64"/>
  <c r="W890" i="64"/>
  <c r="X890" i="64" s="1"/>
  <c r="J890" i="64"/>
  <c r="K890" i="64" s="1"/>
  <c r="AK881" i="64"/>
  <c r="G881" i="64"/>
  <c r="CF879" i="64"/>
  <c r="CF881" i="64" s="1"/>
  <c r="BZ879" i="64"/>
  <c r="BV879" i="64"/>
  <c r="BV881" i="64" s="1"/>
  <c r="BU879" i="64"/>
  <c r="BX879" i="64" s="1"/>
  <c r="BR879" i="64"/>
  <c r="BN879" i="64"/>
  <c r="BN881" i="64" s="1"/>
  <c r="BM879" i="64"/>
  <c r="BM881" i="64" s="1"/>
  <c r="BI879" i="64"/>
  <c r="BI881" i="64" s="1"/>
  <c r="BH879" i="64"/>
  <c r="BK879" i="64" s="1"/>
  <c r="BF879" i="64"/>
  <c r="BE879" i="64"/>
  <c r="BE881" i="64" s="1"/>
  <c r="BA879" i="64"/>
  <c r="BA881" i="64" s="1"/>
  <c r="AZ879" i="64"/>
  <c r="AZ881" i="64" s="1"/>
  <c r="AV879" i="64"/>
  <c r="AV881" i="64" s="1"/>
  <c r="AS879" i="64"/>
  <c r="AR879" i="64"/>
  <c r="AR881" i="64" s="1"/>
  <c r="AN879" i="64"/>
  <c r="AN881" i="64" s="1"/>
  <c r="AM879" i="64"/>
  <c r="AM881" i="64" s="1"/>
  <c r="AI879" i="64"/>
  <c r="AI881" i="64" s="1"/>
  <c r="AH879" i="64"/>
  <c r="AK879" i="64" s="1"/>
  <c r="AF879" i="64"/>
  <c r="AE879" i="64"/>
  <c r="AE881" i="64" s="1"/>
  <c r="AA879" i="64"/>
  <c r="AA881" i="64" s="1"/>
  <c r="Z879" i="64"/>
  <c r="Z881" i="64" s="1"/>
  <c r="V879" i="64"/>
  <c r="V881" i="64" s="1"/>
  <c r="U879" i="64"/>
  <c r="S879" i="64"/>
  <c r="R879" i="64"/>
  <c r="R881" i="64" s="1"/>
  <c r="P879" i="64"/>
  <c r="P881" i="64" s="1"/>
  <c r="N879" i="64"/>
  <c r="N881" i="64" s="1"/>
  <c r="M879" i="64"/>
  <c r="M881" i="64" s="1"/>
  <c r="I879" i="64"/>
  <c r="I881" i="64" s="1"/>
  <c r="H879" i="64"/>
  <c r="H881" i="64" s="1"/>
  <c r="K881" i="64" s="1"/>
  <c r="G879" i="64"/>
  <c r="BX878" i="64"/>
  <c r="BW878" i="64"/>
  <c r="BK878" i="64"/>
  <c r="BJ878" i="64"/>
  <c r="AU878" i="64"/>
  <c r="AK878" i="64"/>
  <c r="AJ878" i="64"/>
  <c r="X878" i="64"/>
  <c r="W878" i="64"/>
  <c r="K878" i="64"/>
  <c r="J878" i="64"/>
  <c r="BX877" i="64"/>
  <c r="BW877" i="64"/>
  <c r="BK877" i="64"/>
  <c r="BJ877" i="64"/>
  <c r="AU877" i="64"/>
  <c r="AX877" i="64" s="1"/>
  <c r="AK877" i="64"/>
  <c r="AJ877" i="64"/>
  <c r="X877" i="64"/>
  <c r="W877" i="64"/>
  <c r="K877" i="64"/>
  <c r="J877" i="64"/>
  <c r="BX876" i="64"/>
  <c r="BW876" i="64"/>
  <c r="BK876" i="64"/>
  <c r="BJ876" i="64"/>
  <c r="AU876" i="64"/>
  <c r="AW876" i="64" s="1"/>
  <c r="AK876" i="64"/>
  <c r="AJ876" i="64"/>
  <c r="X876" i="64"/>
  <c r="W876" i="64"/>
  <c r="K876" i="64"/>
  <c r="J876" i="64"/>
  <c r="BX875" i="64"/>
  <c r="BW875" i="64"/>
  <c r="BK875" i="64"/>
  <c r="BJ875" i="64"/>
  <c r="AU875" i="64"/>
  <c r="AW875" i="64" s="1"/>
  <c r="AK875" i="64"/>
  <c r="AJ875" i="64"/>
  <c r="X875" i="64"/>
  <c r="W875" i="64"/>
  <c r="K875" i="64"/>
  <c r="J875" i="64"/>
  <c r="BX874" i="64"/>
  <c r="BW874" i="64"/>
  <c r="BK874" i="64"/>
  <c r="BJ874" i="64"/>
  <c r="AU874" i="64"/>
  <c r="AX874" i="64" s="1"/>
  <c r="AK874" i="64"/>
  <c r="AJ874" i="64"/>
  <c r="X874" i="64"/>
  <c r="W874" i="64"/>
  <c r="K874" i="64"/>
  <c r="J874" i="64"/>
  <c r="BX873" i="64"/>
  <c r="BW873" i="64"/>
  <c r="BK873" i="64"/>
  <c r="BJ873" i="64"/>
  <c r="AU873" i="64"/>
  <c r="AK873" i="64"/>
  <c r="AJ873" i="64"/>
  <c r="X873" i="64"/>
  <c r="W873" i="64"/>
  <c r="K873" i="64"/>
  <c r="J873" i="64"/>
  <c r="BX872" i="64"/>
  <c r="BW872" i="64"/>
  <c r="BK872" i="64"/>
  <c r="BJ872" i="64"/>
  <c r="AU872" i="64"/>
  <c r="AK872" i="64"/>
  <c r="AJ872" i="64"/>
  <c r="X872" i="64"/>
  <c r="W872" i="64"/>
  <c r="K872" i="64"/>
  <c r="J872" i="64"/>
  <c r="BX871" i="64"/>
  <c r="BW871" i="64"/>
  <c r="BK871" i="64"/>
  <c r="BJ871" i="64"/>
  <c r="AU871" i="64"/>
  <c r="AX871" i="64" s="1"/>
  <c r="AK871" i="64"/>
  <c r="AJ871" i="64"/>
  <c r="X871" i="64"/>
  <c r="W871" i="64"/>
  <c r="K871" i="64"/>
  <c r="J871" i="64"/>
  <c r="CF863" i="64"/>
  <c r="CF865" i="64" s="1"/>
  <c r="CF866" i="64" s="1"/>
  <c r="BZ863" i="64"/>
  <c r="BZ865" i="64" s="1"/>
  <c r="BZ866" i="64" s="1"/>
  <c r="BV863" i="64"/>
  <c r="BV865" i="64" s="1"/>
  <c r="BV866" i="64" s="1"/>
  <c r="BU863" i="64"/>
  <c r="BU865" i="64" s="1"/>
  <c r="BR863" i="64"/>
  <c r="BN863" i="64"/>
  <c r="BN865" i="64" s="1"/>
  <c r="BN866" i="64" s="1"/>
  <c r="BM863" i="64"/>
  <c r="BM865" i="64" s="1"/>
  <c r="BM866" i="64" s="1"/>
  <c r="BI863" i="64"/>
  <c r="BI865" i="64" s="1"/>
  <c r="BI866" i="64" s="1"/>
  <c r="BH863" i="64"/>
  <c r="BH865" i="64" s="1"/>
  <c r="BF863" i="64"/>
  <c r="BE863" i="64"/>
  <c r="BE865" i="64" s="1"/>
  <c r="BE866" i="64" s="1"/>
  <c r="BA863" i="64"/>
  <c r="BA865" i="64" s="1"/>
  <c r="BA866" i="64" s="1"/>
  <c r="AZ863" i="64"/>
  <c r="AZ865" i="64" s="1"/>
  <c r="AZ866" i="64" s="1"/>
  <c r="AV863" i="64"/>
  <c r="AV865" i="64" s="1"/>
  <c r="AV866" i="64" s="1"/>
  <c r="AS863" i="64"/>
  <c r="AR863" i="64"/>
  <c r="AR865" i="64" s="1"/>
  <c r="AR866" i="64" s="1"/>
  <c r="AN863" i="64"/>
  <c r="AN865" i="64" s="1"/>
  <c r="AN866" i="64" s="1"/>
  <c r="AM863" i="64"/>
  <c r="AM865" i="64" s="1"/>
  <c r="AM866" i="64" s="1"/>
  <c r="AI863" i="64"/>
  <c r="AI865" i="64" s="1"/>
  <c r="AI866" i="64" s="1"/>
  <c r="AH863" i="64"/>
  <c r="AH865" i="64" s="1"/>
  <c r="AH866" i="64" s="1"/>
  <c r="AF863" i="64"/>
  <c r="AE863" i="64"/>
  <c r="AE865" i="64" s="1"/>
  <c r="AE866" i="64" s="1"/>
  <c r="AA863" i="64"/>
  <c r="AA865" i="64" s="1"/>
  <c r="AA866" i="64" s="1"/>
  <c r="Z863" i="64"/>
  <c r="Z865" i="64" s="1"/>
  <c r="Z866" i="64" s="1"/>
  <c r="V863" i="64"/>
  <c r="V865" i="64" s="1"/>
  <c r="V866" i="64" s="1"/>
  <c r="S863" i="64"/>
  <c r="S865" i="64" s="1"/>
  <c r="S866" i="64" s="1"/>
  <c r="P863" i="64"/>
  <c r="P865" i="64" s="1"/>
  <c r="P866" i="64" s="1"/>
  <c r="I863" i="64"/>
  <c r="I865" i="64" s="1"/>
  <c r="I866" i="64" s="1"/>
  <c r="H863" i="64"/>
  <c r="BW861" i="64"/>
  <c r="BJ861" i="64"/>
  <c r="AU861" i="64"/>
  <c r="AW861" i="64" s="1"/>
  <c r="AJ861" i="64"/>
  <c r="W861" i="64"/>
  <c r="BX860" i="64"/>
  <c r="BW860" i="64"/>
  <c r="BK860" i="64"/>
  <c r="BJ860" i="64"/>
  <c r="AU860" i="64"/>
  <c r="AW860" i="64" s="1"/>
  <c r="AK860" i="64"/>
  <c r="AJ860" i="64"/>
  <c r="W860" i="64"/>
  <c r="X860" i="64" s="1"/>
  <c r="K860" i="64"/>
  <c r="J860" i="64"/>
  <c r="BW859" i="64"/>
  <c r="BJ859" i="64"/>
  <c r="AU859" i="64"/>
  <c r="AW859" i="64" s="1"/>
  <c r="AJ859" i="64"/>
  <c r="W859" i="64"/>
  <c r="J859" i="64"/>
  <c r="BX858" i="64"/>
  <c r="BW858" i="64"/>
  <c r="BK858" i="64"/>
  <c r="BJ858" i="64"/>
  <c r="AU858" i="64"/>
  <c r="AX858" i="64" s="1"/>
  <c r="AK858" i="64"/>
  <c r="AJ858" i="64"/>
  <c r="X858" i="64"/>
  <c r="W858" i="64"/>
  <c r="J858" i="64"/>
  <c r="K858" i="64" s="1"/>
  <c r="BX856" i="64"/>
  <c r="BW856" i="64"/>
  <c r="BJ856" i="64"/>
  <c r="BK856" i="64" s="1"/>
  <c r="AU856" i="64"/>
  <c r="AW856" i="64" s="1"/>
  <c r="AJ856" i="64"/>
  <c r="AK856" i="64" s="1"/>
  <c r="U856" i="64"/>
  <c r="U863" i="64" s="1"/>
  <c r="R856" i="64"/>
  <c r="R863" i="64" s="1"/>
  <c r="R865" i="64" s="1"/>
  <c r="R866" i="64" s="1"/>
  <c r="N856" i="64"/>
  <c r="N863" i="64" s="1"/>
  <c r="N865" i="64" s="1"/>
  <c r="N866" i="64" s="1"/>
  <c r="M856" i="64"/>
  <c r="M863" i="64" s="1"/>
  <c r="M865" i="64" s="1"/>
  <c r="M866" i="64" s="1"/>
  <c r="J856" i="64"/>
  <c r="K856" i="64" s="1"/>
  <c r="BW854" i="64"/>
  <c r="BX854" i="64" s="1"/>
  <c r="BJ854" i="64"/>
  <c r="BK854" i="64" s="1"/>
  <c r="AU854" i="64"/>
  <c r="AX854" i="64" s="1"/>
  <c r="AK854" i="64"/>
  <c r="AJ854" i="64"/>
  <c r="BW853" i="64"/>
  <c r="BX853" i="64" s="1"/>
  <c r="BJ853" i="64"/>
  <c r="BK853" i="64" s="1"/>
  <c r="AU853" i="64"/>
  <c r="AK853" i="64"/>
  <c r="AJ853" i="64"/>
  <c r="BW852" i="64"/>
  <c r="BX852" i="64" s="1"/>
  <c r="BJ852" i="64"/>
  <c r="BK852" i="64" s="1"/>
  <c r="AU852" i="64"/>
  <c r="AW852" i="64" s="1"/>
  <c r="AJ852" i="64"/>
  <c r="AK852" i="64" s="1"/>
  <c r="X852" i="64"/>
  <c r="W852" i="64"/>
  <c r="K852" i="64"/>
  <c r="J852" i="64"/>
  <c r="BW851" i="64"/>
  <c r="BX851" i="64" s="1"/>
  <c r="BJ851" i="64"/>
  <c r="BK851" i="64" s="1"/>
  <c r="AU851" i="64"/>
  <c r="AJ851" i="64"/>
  <c r="AK851" i="64" s="1"/>
  <c r="W851" i="64"/>
  <c r="X851" i="64" s="1"/>
  <c r="J851" i="64"/>
  <c r="K851" i="64" s="1"/>
  <c r="BX850" i="64"/>
  <c r="BW850" i="64"/>
  <c r="BJ850" i="64"/>
  <c r="BK850" i="64" s="1"/>
  <c r="AU850" i="64"/>
  <c r="AW850" i="64" s="1"/>
  <c r="AX850" i="64" s="1"/>
  <c r="AJ850" i="64"/>
  <c r="AK850" i="64" s="1"/>
  <c r="W850" i="64"/>
  <c r="X850" i="64" s="1"/>
  <c r="J850" i="64"/>
  <c r="K850" i="64" s="1"/>
  <c r="BW848" i="64"/>
  <c r="BX848" i="64" s="1"/>
  <c r="BJ848" i="64"/>
  <c r="BK848" i="64" s="1"/>
  <c r="AU848" i="64"/>
  <c r="AX848" i="64" s="1"/>
  <c r="BW847" i="64"/>
  <c r="BX847" i="64" s="1"/>
  <c r="BJ847" i="64"/>
  <c r="BK847" i="64" s="1"/>
  <c r="AU847" i="64"/>
  <c r="AW847" i="64" s="1"/>
  <c r="AX847" i="64" s="1"/>
  <c r="AK847" i="64"/>
  <c r="AJ847" i="64"/>
  <c r="BW846" i="64"/>
  <c r="BX846" i="64" s="1"/>
  <c r="BJ846" i="64"/>
  <c r="BK846" i="64" s="1"/>
  <c r="AU846" i="64"/>
  <c r="AW846" i="64" s="1"/>
  <c r="AX846" i="64" s="1"/>
  <c r="AJ846" i="64"/>
  <c r="AK846" i="64" s="1"/>
  <c r="W846" i="64"/>
  <c r="BW845" i="64"/>
  <c r="BX845" i="64" s="1"/>
  <c r="BJ845" i="64"/>
  <c r="BK845" i="64" s="1"/>
  <c r="AU845" i="64"/>
  <c r="AJ845" i="64"/>
  <c r="AK845" i="64" s="1"/>
  <c r="W845" i="64"/>
  <c r="X845" i="64" s="1"/>
  <c r="J845" i="64"/>
  <c r="K845" i="64" s="1"/>
  <c r="BX844" i="64"/>
  <c r="BW844" i="64"/>
  <c r="BJ844" i="64"/>
  <c r="BK844" i="64" s="1"/>
  <c r="AU844" i="64"/>
  <c r="AW844" i="64" s="1"/>
  <c r="AJ844" i="64"/>
  <c r="AK844" i="64" s="1"/>
  <c r="W844" i="64"/>
  <c r="X844" i="64" s="1"/>
  <c r="J844" i="64"/>
  <c r="K844" i="64" s="1"/>
  <c r="BW843" i="64"/>
  <c r="BX843" i="64" s="1"/>
  <c r="BJ843" i="64"/>
  <c r="BK843" i="64" s="1"/>
  <c r="AU843" i="64"/>
  <c r="AJ843" i="64"/>
  <c r="AK843" i="64" s="1"/>
  <c r="W843" i="64"/>
  <c r="J843" i="64"/>
  <c r="K843" i="64" s="1"/>
  <c r="AX837" i="64"/>
  <c r="AK837" i="64"/>
  <c r="CF835" i="64"/>
  <c r="CF837" i="64" s="1"/>
  <c r="BZ835" i="64"/>
  <c r="BV835" i="64"/>
  <c r="BV837" i="64" s="1"/>
  <c r="BU835" i="64"/>
  <c r="BR835" i="64"/>
  <c r="BN835" i="64"/>
  <c r="BN837" i="64" s="1"/>
  <c r="BM835" i="64"/>
  <c r="BM837" i="64" s="1"/>
  <c r="BI835" i="64"/>
  <c r="BI837" i="64" s="1"/>
  <c r="BH835" i="64"/>
  <c r="BF835" i="64"/>
  <c r="BE835" i="64"/>
  <c r="BE837" i="64" s="1"/>
  <c r="BA835" i="64"/>
  <c r="BA837" i="64" s="1"/>
  <c r="AZ835" i="64"/>
  <c r="AZ837" i="64" s="1"/>
  <c r="AV835" i="64"/>
  <c r="AV837" i="64" s="1"/>
  <c r="AS835" i="64"/>
  <c r="AS837" i="64" s="1"/>
  <c r="AR835" i="64"/>
  <c r="AR837" i="64" s="1"/>
  <c r="AN835" i="64"/>
  <c r="AN837" i="64" s="1"/>
  <c r="AM835" i="64"/>
  <c r="AM837" i="64" s="1"/>
  <c r="AK835" i="64"/>
  <c r="AI835" i="64"/>
  <c r="AI837" i="64" s="1"/>
  <c r="AF835" i="64"/>
  <c r="AF837" i="64" s="1"/>
  <c r="AE835" i="64"/>
  <c r="AE837" i="64" s="1"/>
  <c r="AA835" i="64"/>
  <c r="AA837" i="64" s="1"/>
  <c r="Z835" i="64"/>
  <c r="Z837" i="64" s="1"/>
  <c r="V835" i="64"/>
  <c r="V837" i="64" s="1"/>
  <c r="U835" i="64"/>
  <c r="S835" i="64"/>
  <c r="S837" i="64" s="1"/>
  <c r="R835" i="64"/>
  <c r="R837" i="64" s="1"/>
  <c r="P835" i="64"/>
  <c r="P837" i="64" s="1"/>
  <c r="N835" i="64"/>
  <c r="N837" i="64" s="1"/>
  <c r="M835" i="64"/>
  <c r="M837" i="64" s="1"/>
  <c r="I835" i="64"/>
  <c r="I837" i="64" s="1"/>
  <c r="H835" i="64"/>
  <c r="H837" i="64" s="1"/>
  <c r="K837" i="64" s="1"/>
  <c r="BX834" i="64"/>
  <c r="BW834" i="64"/>
  <c r="BK834" i="64"/>
  <c r="BJ834" i="64"/>
  <c r="AU834" i="64"/>
  <c r="AK834" i="64"/>
  <c r="AJ834" i="64"/>
  <c r="X834" i="64"/>
  <c r="W834" i="64"/>
  <c r="K834" i="64"/>
  <c r="J834" i="64"/>
  <c r="BX833" i="64"/>
  <c r="BW833" i="64"/>
  <c r="BK833" i="64"/>
  <c r="BJ833" i="64"/>
  <c r="AU833" i="64"/>
  <c r="AK833" i="64"/>
  <c r="AJ833" i="64"/>
  <c r="X833" i="64"/>
  <c r="W833" i="64"/>
  <c r="K833" i="64"/>
  <c r="J833" i="64"/>
  <c r="BX832" i="64"/>
  <c r="BW832" i="64"/>
  <c r="BK832" i="64"/>
  <c r="BJ832" i="64"/>
  <c r="AU832" i="64"/>
  <c r="AK832" i="64"/>
  <c r="AJ832" i="64"/>
  <c r="X832" i="64"/>
  <c r="W832" i="64"/>
  <c r="K832" i="64"/>
  <c r="J832" i="64"/>
  <c r="CF827" i="64"/>
  <c r="O308" i="3"/>
  <c r="BZ827" i="64"/>
  <c r="N308" i="3" s="1"/>
  <c r="BV827" i="64"/>
  <c r="BU827" i="64"/>
  <c r="BR827" i="64"/>
  <c r="L308" i="3" s="1"/>
  <c r="BN827" i="64"/>
  <c r="BM827" i="64"/>
  <c r="BI827" i="64"/>
  <c r="BH827" i="64"/>
  <c r="BF827" i="64"/>
  <c r="K308" i="3" s="1"/>
  <c r="BE827" i="64"/>
  <c r="BA827" i="64"/>
  <c r="AZ827" i="64"/>
  <c r="AV827" i="64"/>
  <c r="AS827" i="64"/>
  <c r="J308" i="3" s="1"/>
  <c r="AR827" i="64"/>
  <c r="AN827" i="64"/>
  <c r="AM827" i="64"/>
  <c r="AI827" i="64"/>
  <c r="AF827" i="64"/>
  <c r="I308" i="3" s="1"/>
  <c r="AE827" i="64"/>
  <c r="AA827" i="64"/>
  <c r="Z827" i="64"/>
  <c r="V827" i="64"/>
  <c r="U827" i="64"/>
  <c r="S827" i="64"/>
  <c r="H308" i="3" s="1"/>
  <c r="R827" i="64"/>
  <c r="P827" i="64"/>
  <c r="N827" i="64"/>
  <c r="M827" i="64"/>
  <c r="I827" i="64"/>
  <c r="H827" i="64"/>
  <c r="BW826" i="64"/>
  <c r="BX826" i="64" s="1"/>
  <c r="BJ826" i="64"/>
  <c r="BK826" i="64" s="1"/>
  <c r="AU826" i="64"/>
  <c r="AW826" i="64" s="1"/>
  <c r="AX826" i="64" s="1"/>
  <c r="AJ826" i="64"/>
  <c r="AK826" i="64" s="1"/>
  <c r="W826" i="64"/>
  <c r="X826" i="64" s="1"/>
  <c r="J826" i="64"/>
  <c r="K826" i="64" s="1"/>
  <c r="BW825" i="64"/>
  <c r="BX825" i="64" s="1"/>
  <c r="BJ825" i="64"/>
  <c r="BK825" i="64" s="1"/>
  <c r="AU825" i="64"/>
  <c r="AJ825" i="64"/>
  <c r="AK825" i="64" s="1"/>
  <c r="W825" i="64"/>
  <c r="X825" i="64" s="1"/>
  <c r="J825" i="64"/>
  <c r="K825" i="64" s="1"/>
  <c r="BW824" i="64"/>
  <c r="BX824" i="64" s="1"/>
  <c r="BJ824" i="64"/>
  <c r="BK824" i="64" s="1"/>
  <c r="AU824" i="64"/>
  <c r="AW824" i="64" s="1"/>
  <c r="AJ824" i="64"/>
  <c r="AK824" i="64" s="1"/>
  <c r="W824" i="64"/>
  <c r="X824" i="64" s="1"/>
  <c r="J824" i="64"/>
  <c r="K824" i="64" s="1"/>
  <c r="BW823" i="64"/>
  <c r="BX823" i="64" s="1"/>
  <c r="BJ823" i="64"/>
  <c r="BK823" i="64" s="1"/>
  <c r="AU823" i="64"/>
  <c r="AW823" i="64" s="1"/>
  <c r="AX823" i="64" s="1"/>
  <c r="AJ823" i="64"/>
  <c r="AK823" i="64" s="1"/>
  <c r="W823" i="64"/>
  <c r="X823" i="64" s="1"/>
  <c r="J823" i="64"/>
  <c r="K823" i="64" s="1"/>
  <c r="BW822" i="64"/>
  <c r="BX822" i="64" s="1"/>
  <c r="BJ822" i="64"/>
  <c r="BK822" i="64" s="1"/>
  <c r="AU822" i="64"/>
  <c r="AJ822" i="64"/>
  <c r="AK822" i="64" s="1"/>
  <c r="W822" i="64"/>
  <c r="X822" i="64" s="1"/>
  <c r="J822" i="64"/>
  <c r="K822" i="64" s="1"/>
  <c r="BW821" i="64"/>
  <c r="BX821" i="64" s="1"/>
  <c r="BJ821" i="64"/>
  <c r="BK821" i="64" s="1"/>
  <c r="AU821" i="64"/>
  <c r="AW821" i="64" s="1"/>
  <c r="AX821" i="64" s="1"/>
  <c r="AJ821" i="64"/>
  <c r="W821" i="64"/>
  <c r="X821" i="64" s="1"/>
  <c r="J821" i="64"/>
  <c r="K821" i="64" s="1"/>
  <c r="CF819" i="64"/>
  <c r="O306" i="3"/>
  <c r="BZ819" i="64"/>
  <c r="N306" i="3" s="1"/>
  <c r="BV819" i="64"/>
  <c r="BU819" i="64"/>
  <c r="BR819" i="64"/>
  <c r="L306" i="3" s="1"/>
  <c r="BN819" i="64"/>
  <c r="BM819" i="64"/>
  <c r="BI819" i="64"/>
  <c r="BH819" i="64"/>
  <c r="BF819" i="64"/>
  <c r="K306" i="3" s="1"/>
  <c r="BE819" i="64"/>
  <c r="BA819" i="64"/>
  <c r="AZ819" i="64"/>
  <c r="AV819" i="64"/>
  <c r="AS819" i="64"/>
  <c r="J306" i="3" s="1"/>
  <c r="AR819" i="64"/>
  <c r="AN819" i="64"/>
  <c r="AM819" i="64"/>
  <c r="AI819" i="64"/>
  <c r="AF819" i="64"/>
  <c r="I306" i="3" s="1"/>
  <c r="AE819" i="64"/>
  <c r="AA819" i="64"/>
  <c r="Z819" i="64"/>
  <c r="V819" i="64"/>
  <c r="U819" i="64"/>
  <c r="S819" i="64"/>
  <c r="H306" i="3" s="1"/>
  <c r="R819" i="64"/>
  <c r="P819" i="64"/>
  <c r="N819" i="64"/>
  <c r="M819" i="64"/>
  <c r="I819" i="64"/>
  <c r="H819" i="64"/>
  <c r="BW818" i="64"/>
  <c r="BW819" i="64" s="1"/>
  <c r="M306" i="3" s="1"/>
  <c r="BJ818" i="64"/>
  <c r="AU818" i="64"/>
  <c r="AW818" i="64" s="1"/>
  <c r="AJ818" i="64"/>
  <c r="W818" i="64"/>
  <c r="X818" i="64" s="1"/>
  <c r="J818" i="64"/>
  <c r="K818" i="64" s="1"/>
  <c r="CF813" i="64"/>
  <c r="CF815" i="64" s="1"/>
  <c r="BZ813" i="64"/>
  <c r="BV813" i="64"/>
  <c r="BV815" i="64" s="1"/>
  <c r="BU813" i="64"/>
  <c r="BU815" i="64" s="1"/>
  <c r="BR813" i="64"/>
  <c r="BN813" i="64"/>
  <c r="BN815" i="64" s="1"/>
  <c r="BM813" i="64"/>
  <c r="BM815" i="64" s="1"/>
  <c r="BI813" i="64"/>
  <c r="BI815" i="64" s="1"/>
  <c r="BH813" i="64"/>
  <c r="BH815" i="64" s="1"/>
  <c r="BF813" i="64"/>
  <c r="BE813" i="64"/>
  <c r="BE815" i="64" s="1"/>
  <c r="BA813" i="64"/>
  <c r="BA815" i="64" s="1"/>
  <c r="AZ813" i="64"/>
  <c r="AZ815" i="64" s="1"/>
  <c r="AV813" i="64"/>
  <c r="AV815" i="64" s="1"/>
  <c r="AS813" i="64"/>
  <c r="AS815" i="64" s="1"/>
  <c r="AR813" i="64"/>
  <c r="AR815" i="64" s="1"/>
  <c r="AN813" i="64"/>
  <c r="AN815" i="64" s="1"/>
  <c r="AM813" i="64"/>
  <c r="AM815" i="64" s="1"/>
  <c r="AI813" i="64"/>
  <c r="AI815" i="64" s="1"/>
  <c r="AF813" i="64"/>
  <c r="AE813" i="64"/>
  <c r="AE815" i="64" s="1"/>
  <c r="AA813" i="64"/>
  <c r="AA815" i="64" s="1"/>
  <c r="Z813" i="64"/>
  <c r="Z815" i="64" s="1"/>
  <c r="V813" i="64"/>
  <c r="V815" i="64" s="1"/>
  <c r="U813" i="64"/>
  <c r="U815" i="64" s="1"/>
  <c r="S813" i="64"/>
  <c r="R813" i="64"/>
  <c r="R815" i="64" s="1"/>
  <c r="P813" i="64"/>
  <c r="P815" i="64" s="1"/>
  <c r="N813" i="64"/>
  <c r="N815" i="64" s="1"/>
  <c r="M813" i="64"/>
  <c r="M815" i="64" s="1"/>
  <c r="I813" i="64"/>
  <c r="I815" i="64" s="1"/>
  <c r="H813" i="64"/>
  <c r="H815" i="64" s="1"/>
  <c r="BW812" i="64"/>
  <c r="BX812" i="64" s="1"/>
  <c r="BJ812" i="64"/>
  <c r="BK812" i="64" s="1"/>
  <c r="AU812" i="64"/>
  <c r="AJ812" i="64"/>
  <c r="AK812" i="64" s="1"/>
  <c r="W812" i="64"/>
  <c r="J812" i="64"/>
  <c r="K812" i="64" s="1"/>
  <c r="BX811" i="64"/>
  <c r="BW811" i="64"/>
  <c r="BK811" i="64"/>
  <c r="BJ811" i="64"/>
  <c r="AU811" i="64"/>
  <c r="AW811" i="64" s="1"/>
  <c r="AX811" i="64" s="1"/>
  <c r="AJ811" i="64"/>
  <c r="AK811" i="64" s="1"/>
  <c r="W811" i="64"/>
  <c r="X811" i="64" s="1"/>
  <c r="J811" i="64"/>
  <c r="K811" i="64" s="1"/>
  <c r="CF806" i="64"/>
  <c r="O296" i="3"/>
  <c r="BZ806" i="64"/>
  <c r="N296" i="3" s="1"/>
  <c r="BV806" i="64"/>
  <c r="BU806" i="64"/>
  <c r="BR806" i="64"/>
  <c r="L296" i="3" s="1"/>
  <c r="BN806" i="64"/>
  <c r="BM806" i="64"/>
  <c r="BI806" i="64"/>
  <c r="BH806" i="64"/>
  <c r="BF806" i="64"/>
  <c r="K296" i="3" s="1"/>
  <c r="BE806" i="64"/>
  <c r="BA806" i="64"/>
  <c r="AZ806" i="64"/>
  <c r="AV806" i="64"/>
  <c r="AU806" i="64"/>
  <c r="AX806" i="64" s="1"/>
  <c r="AS806" i="64"/>
  <c r="J296" i="3" s="1"/>
  <c r="AR806" i="64"/>
  <c r="AN806" i="64"/>
  <c r="AM806" i="64"/>
  <c r="AI806" i="64"/>
  <c r="AH806" i="64"/>
  <c r="AK806" i="64" s="1"/>
  <c r="AF806" i="64"/>
  <c r="I296" i="3" s="1"/>
  <c r="AE806" i="64"/>
  <c r="AA806" i="64"/>
  <c r="Z806" i="64"/>
  <c r="V806" i="64"/>
  <c r="U806" i="64"/>
  <c r="S806" i="64"/>
  <c r="H296" i="3" s="1"/>
  <c r="R806" i="64"/>
  <c r="N806" i="64"/>
  <c r="M806" i="64"/>
  <c r="I806" i="64"/>
  <c r="H806" i="64"/>
  <c r="K806" i="64" s="1"/>
  <c r="BW805" i="64"/>
  <c r="BX805" i="64" s="1"/>
  <c r="BK805" i="64"/>
  <c r="BJ805" i="64"/>
  <c r="AX805" i="64"/>
  <c r="AW805" i="64"/>
  <c r="AK805" i="64"/>
  <c r="AJ805" i="64"/>
  <c r="X805" i="64"/>
  <c r="W805" i="64"/>
  <c r="K805" i="64"/>
  <c r="J805" i="64"/>
  <c r="BW804" i="64"/>
  <c r="BX804" i="64" s="1"/>
  <c r="BK804" i="64"/>
  <c r="BJ804" i="64"/>
  <c r="AX804" i="64"/>
  <c r="AW804" i="64"/>
  <c r="AK804" i="64"/>
  <c r="AJ804" i="64"/>
  <c r="X804" i="64"/>
  <c r="W804" i="64"/>
  <c r="K804" i="64"/>
  <c r="J804" i="64"/>
  <c r="BW803" i="64"/>
  <c r="BX803" i="64" s="1"/>
  <c r="BK803" i="64"/>
  <c r="BJ803" i="64"/>
  <c r="AX803" i="64"/>
  <c r="AW803" i="64"/>
  <c r="AK803" i="64"/>
  <c r="AJ803" i="64"/>
  <c r="X803" i="64"/>
  <c r="W803" i="64"/>
  <c r="K803" i="64"/>
  <c r="J803" i="64"/>
  <c r="BW802" i="64"/>
  <c r="BX802" i="64" s="1"/>
  <c r="BK802" i="64"/>
  <c r="BJ802" i="64"/>
  <c r="AX802" i="64"/>
  <c r="AW802" i="64"/>
  <c r="AK802" i="64"/>
  <c r="AJ802" i="64"/>
  <c r="X802" i="64"/>
  <c r="W802" i="64"/>
  <c r="K802" i="64"/>
  <c r="J802" i="64"/>
  <c r="BW801" i="64"/>
  <c r="BK801" i="64"/>
  <c r="BJ801" i="64"/>
  <c r="AX801" i="64"/>
  <c r="AW801" i="64"/>
  <c r="AK801" i="64"/>
  <c r="AJ801" i="64"/>
  <c r="X801" i="64"/>
  <c r="W801" i="64"/>
  <c r="K801" i="64"/>
  <c r="J801" i="64"/>
  <c r="CF799" i="64"/>
  <c r="BZ799" i="64"/>
  <c r="N293" i="3" s="1"/>
  <c r="BV799" i="64"/>
  <c r="BV808" i="64" s="1"/>
  <c r="BU799" i="64"/>
  <c r="BU808" i="64" s="1"/>
  <c r="BR799" i="64"/>
  <c r="L293" i="3" s="1"/>
  <c r="L294" i="3" s="1"/>
  <c r="BN799" i="64"/>
  <c r="BM799" i="64"/>
  <c r="BM808" i="64" s="1"/>
  <c r="BI799" i="64"/>
  <c r="BH799" i="64"/>
  <c r="BK799" i="64" s="1"/>
  <c r="BF799" i="64"/>
  <c r="BF808" i="64" s="1"/>
  <c r="BE799" i="64"/>
  <c r="BA799" i="64"/>
  <c r="AZ799" i="64"/>
  <c r="AZ808" i="64" s="1"/>
  <c r="AV799" i="64"/>
  <c r="AU799" i="64"/>
  <c r="AX799" i="64" s="1"/>
  <c r="AS799" i="64"/>
  <c r="J293" i="3" s="1"/>
  <c r="J294" i="3" s="1"/>
  <c r="AR799" i="64"/>
  <c r="AN799" i="64"/>
  <c r="AM799" i="64"/>
  <c r="AI799" i="64"/>
  <c r="AF799" i="64"/>
  <c r="I293" i="3" s="1"/>
  <c r="I294" i="3" s="1"/>
  <c r="AE799" i="64"/>
  <c r="AA799" i="64"/>
  <c r="Z799" i="64"/>
  <c r="V799" i="64"/>
  <c r="U799" i="64"/>
  <c r="X799" i="64" s="1"/>
  <c r="S799" i="64"/>
  <c r="H293" i="3" s="1"/>
  <c r="R799" i="64"/>
  <c r="P799" i="64"/>
  <c r="P808" i="64" s="1"/>
  <c r="N799" i="64"/>
  <c r="M799" i="64"/>
  <c r="I799" i="64"/>
  <c r="H799" i="64"/>
  <c r="BW798" i="64"/>
  <c r="BW799" i="64" s="1"/>
  <c r="M293" i="3" s="1"/>
  <c r="M294" i="3" s="1"/>
  <c r="BK798" i="64"/>
  <c r="BJ798" i="64"/>
  <c r="BJ799" i="64" s="1"/>
  <c r="AX798" i="64"/>
  <c r="AW798" i="64"/>
  <c r="AW799" i="64" s="1"/>
  <c r="AK798" i="64"/>
  <c r="AJ798" i="64"/>
  <c r="AJ799" i="64" s="1"/>
  <c r="AK799" i="64" s="1"/>
  <c r="X798" i="64"/>
  <c r="W798" i="64"/>
  <c r="W799" i="64" s="1"/>
  <c r="K798" i="64"/>
  <c r="J798" i="64"/>
  <c r="J799" i="64" s="1"/>
  <c r="CF793" i="64"/>
  <c r="BZ793" i="64"/>
  <c r="N288" i="3" s="1"/>
  <c r="BV793" i="64"/>
  <c r="BM793" i="64"/>
  <c r="BI793" i="64"/>
  <c r="BF793" i="64"/>
  <c r="AZ793" i="64"/>
  <c r="AV793" i="64"/>
  <c r="AS793" i="64"/>
  <c r="AI793" i="64"/>
  <c r="AH793" i="64"/>
  <c r="AF793" i="64"/>
  <c r="I288" i="3" s="1"/>
  <c r="Z793" i="64"/>
  <c r="V793" i="64"/>
  <c r="U793" i="64"/>
  <c r="S793" i="64"/>
  <c r="R793" i="64"/>
  <c r="P793" i="64"/>
  <c r="N793" i="64"/>
  <c r="M793" i="64"/>
  <c r="I793" i="64"/>
  <c r="H793" i="64"/>
  <c r="BW792" i="64"/>
  <c r="BX792" i="64" s="1"/>
  <c r="BJ792" i="64"/>
  <c r="BK792" i="64" s="1"/>
  <c r="AU792" i="64"/>
  <c r="AW792" i="64" s="1"/>
  <c r="AJ792" i="64"/>
  <c r="AK792" i="64" s="1"/>
  <c r="W792" i="64"/>
  <c r="X792" i="64" s="1"/>
  <c r="J792" i="64"/>
  <c r="K792" i="64" s="1"/>
  <c r="BW791" i="64"/>
  <c r="BX791" i="64" s="1"/>
  <c r="BJ791" i="64"/>
  <c r="BK791" i="64" s="1"/>
  <c r="AU791" i="64"/>
  <c r="AJ791" i="64"/>
  <c r="AK791" i="64" s="1"/>
  <c r="W791" i="64"/>
  <c r="X791" i="64" s="1"/>
  <c r="J791" i="64"/>
  <c r="K791" i="64" s="1"/>
  <c r="BW790" i="64"/>
  <c r="BX790" i="64" s="1"/>
  <c r="BJ790" i="64"/>
  <c r="BK790" i="64" s="1"/>
  <c r="AU790" i="64"/>
  <c r="AW790" i="64" s="1"/>
  <c r="AX790" i="64" s="1"/>
  <c r="AJ790" i="64"/>
  <c r="AK790" i="64" s="1"/>
  <c r="W790" i="64"/>
  <c r="X790" i="64" s="1"/>
  <c r="J790" i="64"/>
  <c r="K790" i="64" s="1"/>
  <c r="BW789" i="64"/>
  <c r="BX789" i="64" s="1"/>
  <c r="BJ789" i="64"/>
  <c r="BK789" i="64" s="1"/>
  <c r="AU789" i="64"/>
  <c r="AW789" i="64" s="1"/>
  <c r="AX789" i="64" s="1"/>
  <c r="AJ789" i="64"/>
  <c r="AK789" i="64" s="1"/>
  <c r="W789" i="64"/>
  <c r="X789" i="64" s="1"/>
  <c r="J789" i="64"/>
  <c r="K789" i="64" s="1"/>
  <c r="BW788" i="64"/>
  <c r="BX788" i="64" s="1"/>
  <c r="BJ788" i="64"/>
  <c r="BK788" i="64" s="1"/>
  <c r="AU788" i="64"/>
  <c r="AW788" i="64" s="1"/>
  <c r="AX788" i="64" s="1"/>
  <c r="AJ788" i="64"/>
  <c r="AK788" i="64" s="1"/>
  <c r="W788" i="64"/>
  <c r="X788" i="64" s="1"/>
  <c r="J788" i="64"/>
  <c r="K788" i="64" s="1"/>
  <c r="BW787" i="64"/>
  <c r="BX787" i="64" s="1"/>
  <c r="BJ787" i="64"/>
  <c r="BK787" i="64" s="1"/>
  <c r="AU787" i="64"/>
  <c r="AJ787" i="64"/>
  <c r="AK787" i="64" s="1"/>
  <c r="W787" i="64"/>
  <c r="X787" i="64" s="1"/>
  <c r="J787" i="64"/>
  <c r="K787" i="64" s="1"/>
  <c r="BW786" i="64"/>
  <c r="BX786" i="64" s="1"/>
  <c r="BJ786" i="64"/>
  <c r="BK786" i="64" s="1"/>
  <c r="AU786" i="64"/>
  <c r="AJ786" i="64"/>
  <c r="AK786" i="64" s="1"/>
  <c r="W786" i="64"/>
  <c r="X786" i="64" s="1"/>
  <c r="J786" i="64"/>
  <c r="K786" i="64" s="1"/>
  <c r="BW785" i="64"/>
  <c r="BX785" i="64" s="1"/>
  <c r="BJ785" i="64"/>
  <c r="BK785" i="64" s="1"/>
  <c r="AU785" i="64"/>
  <c r="AW785" i="64" s="1"/>
  <c r="AJ785" i="64"/>
  <c r="AK785" i="64" s="1"/>
  <c r="W785" i="64"/>
  <c r="X785" i="64" s="1"/>
  <c r="J785" i="64"/>
  <c r="K785" i="64" s="1"/>
  <c r="BU784" i="64"/>
  <c r="BW784" i="64" s="1"/>
  <c r="BX784" i="64" s="1"/>
  <c r="BR784" i="64"/>
  <c r="BN784" i="64"/>
  <c r="BJ784" i="64"/>
  <c r="BK784" i="64" s="1"/>
  <c r="AU784" i="64"/>
  <c r="AJ784" i="64"/>
  <c r="AK784" i="64" s="1"/>
  <c r="AE784" i="64"/>
  <c r="AA784" i="64"/>
  <c r="W784" i="64"/>
  <c r="X784" i="64" s="1"/>
  <c r="J784" i="64"/>
  <c r="K784" i="64" s="1"/>
  <c r="BW783" i="64"/>
  <c r="BX783" i="64" s="1"/>
  <c r="BJ783" i="64"/>
  <c r="BK783" i="64" s="1"/>
  <c r="AU783" i="64"/>
  <c r="AW783" i="64" s="1"/>
  <c r="AX783" i="64" s="1"/>
  <c r="AJ783" i="64"/>
  <c r="AK783" i="64" s="1"/>
  <c r="W783" i="64"/>
  <c r="X783" i="64" s="1"/>
  <c r="J783" i="64"/>
  <c r="K783" i="64" s="1"/>
  <c r="BW782" i="64"/>
  <c r="BX782" i="64" s="1"/>
  <c r="BJ782" i="64"/>
  <c r="BK782" i="64" s="1"/>
  <c r="AU782" i="64"/>
  <c r="AW782" i="64" s="1"/>
  <c r="AX782" i="64" s="1"/>
  <c r="AJ782" i="64"/>
  <c r="AK782" i="64" s="1"/>
  <c r="W782" i="64"/>
  <c r="X782" i="64" s="1"/>
  <c r="J782" i="64"/>
  <c r="K782" i="64" s="1"/>
  <c r="BW781" i="64"/>
  <c r="BX781" i="64" s="1"/>
  <c r="BJ781" i="64"/>
  <c r="BK781" i="64" s="1"/>
  <c r="AU781" i="64"/>
  <c r="AW781" i="64" s="1"/>
  <c r="AX781" i="64" s="1"/>
  <c r="AJ781" i="64"/>
  <c r="AK781" i="64" s="1"/>
  <c r="W781" i="64"/>
  <c r="X781" i="64" s="1"/>
  <c r="J781" i="64"/>
  <c r="K781" i="64" s="1"/>
  <c r="BW780" i="64"/>
  <c r="BX780" i="64" s="1"/>
  <c r="BJ780" i="64"/>
  <c r="BK780" i="64" s="1"/>
  <c r="AU780" i="64"/>
  <c r="AJ780" i="64"/>
  <c r="AK780" i="64" s="1"/>
  <c r="AE780" i="64"/>
  <c r="AA780" i="64"/>
  <c r="W780" i="64"/>
  <c r="X780" i="64" s="1"/>
  <c r="J780" i="64"/>
  <c r="K780" i="64" s="1"/>
  <c r="BU779" i="64"/>
  <c r="BR779" i="64"/>
  <c r="BN779" i="64"/>
  <c r="BH779" i="64"/>
  <c r="BJ779" i="64" s="1"/>
  <c r="BE779" i="64"/>
  <c r="BA779" i="64"/>
  <c r="AW779" i="64"/>
  <c r="BW778" i="64"/>
  <c r="BX778" i="64" s="1"/>
  <c r="BH778" i="64"/>
  <c r="BJ778" i="64" s="1"/>
  <c r="BK778" i="64" s="1"/>
  <c r="BE778" i="64"/>
  <c r="BA778" i="64"/>
  <c r="AR778" i="64"/>
  <c r="AN778" i="64"/>
  <c r="AM778" i="64"/>
  <c r="AJ778" i="64"/>
  <c r="AK778" i="64" s="1"/>
  <c r="AE778" i="64"/>
  <c r="AA778" i="64"/>
  <c r="W778" i="64"/>
  <c r="X778" i="64" s="1"/>
  <c r="J778" i="64"/>
  <c r="K778" i="64" s="1"/>
  <c r="BW777" i="64"/>
  <c r="BX777" i="64" s="1"/>
  <c r="BH777" i="64"/>
  <c r="BE777" i="64"/>
  <c r="BA777" i="64"/>
  <c r="AU777" i="64"/>
  <c r="AJ777" i="64"/>
  <c r="AK777" i="64" s="1"/>
  <c r="W777" i="64"/>
  <c r="X777" i="64" s="1"/>
  <c r="J777" i="64"/>
  <c r="K777" i="64" s="1"/>
  <c r="BU776" i="64"/>
  <c r="BW776" i="64" s="1"/>
  <c r="BR776" i="64"/>
  <c r="BN776" i="64"/>
  <c r="BJ776" i="64"/>
  <c r="BK776" i="64" s="1"/>
  <c r="AR776" i="64"/>
  <c r="AU776" i="64" s="1"/>
  <c r="AW776" i="64" s="1"/>
  <c r="AX776" i="64" s="1"/>
  <c r="AN776" i="64"/>
  <c r="AM776" i="64"/>
  <c r="AJ776" i="64"/>
  <c r="AK776" i="64" s="1"/>
  <c r="AE776" i="64"/>
  <c r="AA776" i="64"/>
  <c r="W776" i="64"/>
  <c r="X776" i="64" s="1"/>
  <c r="J776" i="64"/>
  <c r="K776" i="64" s="1"/>
  <c r="BU775" i="64"/>
  <c r="BR775" i="64"/>
  <c r="BN775" i="64"/>
  <c r="BH775" i="64"/>
  <c r="BJ775" i="64" s="1"/>
  <c r="BK775" i="64" s="1"/>
  <c r="BE775" i="64"/>
  <c r="BA775" i="64"/>
  <c r="AU775" i="64"/>
  <c r="AW775" i="64" s="1"/>
  <c r="AX775" i="64" s="1"/>
  <c r="AJ775" i="64"/>
  <c r="AK775" i="64" s="1"/>
  <c r="W775" i="64"/>
  <c r="X775" i="64" s="1"/>
  <c r="J775" i="64"/>
  <c r="K775" i="64" s="1"/>
  <c r="BW774" i="64"/>
  <c r="BX774" i="64" s="1"/>
  <c r="BJ774" i="64"/>
  <c r="AU774" i="64"/>
  <c r="AW774" i="64" s="1"/>
  <c r="AX774" i="64" s="1"/>
  <c r="AJ774" i="64"/>
  <c r="AK774" i="64" s="1"/>
  <c r="W774" i="64"/>
  <c r="X774" i="64" s="1"/>
  <c r="J774" i="64"/>
  <c r="K774" i="64" s="1"/>
  <c r="BW773" i="64"/>
  <c r="BJ773" i="64"/>
  <c r="BK773" i="64" s="1"/>
  <c r="AU773" i="64"/>
  <c r="AJ773" i="64"/>
  <c r="W773" i="64"/>
  <c r="X773" i="64" s="1"/>
  <c r="J773" i="64"/>
  <c r="CF769" i="64"/>
  <c r="O285" i="3"/>
  <c r="BZ769" i="64"/>
  <c r="N285" i="3" s="1"/>
  <c r="BV769" i="64"/>
  <c r="BU769" i="64"/>
  <c r="BR769" i="64"/>
  <c r="L285" i="3" s="1"/>
  <c r="BN769" i="64"/>
  <c r="BM769" i="64"/>
  <c r="BI769" i="64"/>
  <c r="BH769" i="64"/>
  <c r="BF769" i="64"/>
  <c r="K285" i="3" s="1"/>
  <c r="BE769" i="64"/>
  <c r="BA769" i="64"/>
  <c r="AV769" i="64"/>
  <c r="AS769" i="64"/>
  <c r="J285" i="3" s="1"/>
  <c r="AR769" i="64"/>
  <c r="AN769" i="64"/>
  <c r="AM769" i="64"/>
  <c r="AI769" i="64"/>
  <c r="AF769" i="64"/>
  <c r="I285" i="3" s="1"/>
  <c r="AE769" i="64"/>
  <c r="AA769" i="64"/>
  <c r="V769" i="64"/>
  <c r="U769" i="64"/>
  <c r="S769" i="64"/>
  <c r="H285" i="3" s="1"/>
  <c r="R769" i="64"/>
  <c r="P769" i="64"/>
  <c r="N769" i="64"/>
  <c r="M769" i="64"/>
  <c r="I769" i="64"/>
  <c r="H769" i="64"/>
  <c r="BW768" i="64"/>
  <c r="BX768" i="64" s="1"/>
  <c r="BJ768" i="64"/>
  <c r="BK768" i="64" s="1"/>
  <c r="AU768" i="64"/>
  <c r="AW768" i="64" s="1"/>
  <c r="AJ768" i="64"/>
  <c r="AK768" i="64" s="1"/>
  <c r="W768" i="64"/>
  <c r="J768" i="64"/>
  <c r="K768" i="64" s="1"/>
  <c r="BW767" i="64"/>
  <c r="BX767" i="64" s="1"/>
  <c r="BJ767" i="64"/>
  <c r="BK767" i="64" s="1"/>
  <c r="AZ767" i="64"/>
  <c r="AZ769" i="64" s="1"/>
  <c r="AU767" i="64"/>
  <c r="AJ767" i="64"/>
  <c r="AK767" i="64" s="1"/>
  <c r="W767" i="64"/>
  <c r="Z767" i="64" s="1"/>
  <c r="J767" i="64"/>
  <c r="BW766" i="64"/>
  <c r="BX766" i="64" s="1"/>
  <c r="BJ766" i="64"/>
  <c r="AU766" i="64"/>
  <c r="AW766" i="64" s="1"/>
  <c r="AJ766" i="64"/>
  <c r="W766" i="64"/>
  <c r="Z766" i="64" s="1"/>
  <c r="J766" i="64"/>
  <c r="K766" i="64" s="1"/>
  <c r="CF764" i="64"/>
  <c r="O284" i="3"/>
  <c r="BZ764" i="64"/>
  <c r="N284" i="3" s="1"/>
  <c r="BV764" i="64"/>
  <c r="BU764" i="64"/>
  <c r="BR764" i="64"/>
  <c r="L284" i="3" s="1"/>
  <c r="BN764" i="64"/>
  <c r="BM764" i="64"/>
  <c r="BI764" i="64"/>
  <c r="BH764" i="64"/>
  <c r="BF764" i="64"/>
  <c r="K284" i="3" s="1"/>
  <c r="BE764" i="64"/>
  <c r="BA764" i="64"/>
  <c r="AZ764" i="64"/>
  <c r="AV764" i="64"/>
  <c r="AS764" i="64"/>
  <c r="J284" i="3" s="1"/>
  <c r="AR764" i="64"/>
  <c r="AN764" i="64"/>
  <c r="AM764" i="64"/>
  <c r="AI764" i="64"/>
  <c r="AF764" i="64"/>
  <c r="I284" i="3" s="1"/>
  <c r="AE764" i="64"/>
  <c r="AA764" i="64"/>
  <c r="V764" i="64"/>
  <c r="U764" i="64"/>
  <c r="S764" i="64"/>
  <c r="H284" i="3" s="1"/>
  <c r="R764" i="64"/>
  <c r="P764" i="64"/>
  <c r="N764" i="64"/>
  <c r="M764" i="64"/>
  <c r="I764" i="64"/>
  <c r="H764" i="64"/>
  <c r="BW763" i="64"/>
  <c r="BX763" i="64" s="1"/>
  <c r="BJ763" i="64"/>
  <c r="BK763" i="64" s="1"/>
  <c r="AU763" i="64"/>
  <c r="AW763" i="64" s="1"/>
  <c r="AX763" i="64" s="1"/>
  <c r="AJ763" i="64"/>
  <c r="AK763" i="64" s="1"/>
  <c r="W763" i="64"/>
  <c r="X763" i="64" s="1"/>
  <c r="J763" i="64"/>
  <c r="K763" i="64" s="1"/>
  <c r="BW762" i="64"/>
  <c r="BX762" i="64" s="1"/>
  <c r="BJ762" i="64"/>
  <c r="BK762" i="64" s="1"/>
  <c r="AU762" i="64"/>
  <c r="AJ762" i="64"/>
  <c r="AK762" i="64" s="1"/>
  <c r="W762" i="64"/>
  <c r="J762" i="64"/>
  <c r="K762" i="64" s="1"/>
  <c r="BW761" i="64"/>
  <c r="BX761" i="64" s="1"/>
  <c r="BJ761" i="64"/>
  <c r="BK761" i="64" s="1"/>
  <c r="AU761" i="64"/>
  <c r="AW761" i="64" s="1"/>
  <c r="AJ761" i="64"/>
  <c r="AK761" i="64" s="1"/>
  <c r="W761" i="64"/>
  <c r="J761" i="64"/>
  <c r="K761" i="64" s="1"/>
  <c r="BW760" i="64"/>
  <c r="BX760" i="64" s="1"/>
  <c r="BJ760" i="64"/>
  <c r="BK760" i="64" s="1"/>
  <c r="AU760" i="64"/>
  <c r="AW760" i="64" s="1"/>
  <c r="AX760" i="64" s="1"/>
  <c r="AJ760" i="64"/>
  <c r="AK760" i="64" s="1"/>
  <c r="W760" i="64"/>
  <c r="Z760" i="64" s="1"/>
  <c r="J760" i="64"/>
  <c r="K760" i="64" s="1"/>
  <c r="BW759" i="64"/>
  <c r="BJ759" i="64"/>
  <c r="AU759" i="64"/>
  <c r="AJ759" i="64"/>
  <c r="AK759" i="64" s="1"/>
  <c r="W759" i="64"/>
  <c r="Z759" i="64" s="1"/>
  <c r="J759" i="64"/>
  <c r="CF750" i="64"/>
  <c r="CF752" i="64" s="1"/>
  <c r="BZ750" i="64"/>
  <c r="BV750" i="64"/>
  <c r="BV752" i="64" s="1"/>
  <c r="BU750" i="64"/>
  <c r="BU752" i="64" s="1"/>
  <c r="BR750" i="64"/>
  <c r="BN750" i="64"/>
  <c r="BN752" i="64" s="1"/>
  <c r="BM750" i="64"/>
  <c r="BM752" i="64" s="1"/>
  <c r="BI750" i="64"/>
  <c r="BI752" i="64" s="1"/>
  <c r="BH750" i="64"/>
  <c r="BH752" i="64" s="1"/>
  <c r="BF750" i="64"/>
  <c r="BE750" i="64"/>
  <c r="BE752" i="64" s="1"/>
  <c r="BA750" i="64"/>
  <c r="BA752" i="64" s="1"/>
  <c r="AZ750" i="64"/>
  <c r="AZ752" i="64" s="1"/>
  <c r="AV750" i="64"/>
  <c r="AV752" i="64" s="1"/>
  <c r="AS750" i="64"/>
  <c r="AS752" i="64" s="1"/>
  <c r="AR750" i="64"/>
  <c r="AR752" i="64" s="1"/>
  <c r="AN750" i="64"/>
  <c r="AN752" i="64" s="1"/>
  <c r="AM750" i="64"/>
  <c r="AM752" i="64" s="1"/>
  <c r="AI750" i="64"/>
  <c r="AI752" i="64" s="1"/>
  <c r="AF750" i="64"/>
  <c r="AE750" i="64"/>
  <c r="AE752" i="64" s="1"/>
  <c r="AA750" i="64"/>
  <c r="AA752" i="64" s="1"/>
  <c r="V750" i="64"/>
  <c r="V752" i="64" s="1"/>
  <c r="U750" i="64"/>
  <c r="U752" i="64" s="1"/>
  <c r="S750" i="64"/>
  <c r="S752" i="64" s="1"/>
  <c r="R750" i="64"/>
  <c r="R752" i="64" s="1"/>
  <c r="P750" i="64"/>
  <c r="P752" i="64" s="1"/>
  <c r="N750" i="64"/>
  <c r="N752" i="64" s="1"/>
  <c r="M750" i="64"/>
  <c r="M752" i="64" s="1"/>
  <c r="I750" i="64"/>
  <c r="I752" i="64" s="1"/>
  <c r="H750" i="64"/>
  <c r="H752" i="64" s="1"/>
  <c r="BW749" i="64"/>
  <c r="BX749" i="64" s="1"/>
  <c r="BJ749" i="64"/>
  <c r="AU749" i="64"/>
  <c r="AJ749" i="64"/>
  <c r="AJ750" i="64" s="1"/>
  <c r="AK750" i="64" s="1"/>
  <c r="W749" i="64"/>
  <c r="Z749" i="64" s="1"/>
  <c r="Z750" i="64" s="1"/>
  <c r="Z752" i="64" s="1"/>
  <c r="J749" i="64"/>
  <c r="CF744" i="64"/>
  <c r="CF746" i="64" s="1"/>
  <c r="BZ744" i="64"/>
  <c r="BZ746" i="64" s="1"/>
  <c r="BV744" i="64"/>
  <c r="BV746" i="64" s="1"/>
  <c r="BU744" i="64"/>
  <c r="BR744" i="64"/>
  <c r="BN744" i="64"/>
  <c r="BN746" i="64" s="1"/>
  <c r="BM744" i="64"/>
  <c r="BM746" i="64" s="1"/>
  <c r="BI744" i="64"/>
  <c r="BI746" i="64" s="1"/>
  <c r="BH744" i="64"/>
  <c r="BH746" i="64" s="1"/>
  <c r="BF744" i="64"/>
  <c r="BE744" i="64"/>
  <c r="BE746" i="64" s="1"/>
  <c r="BA744" i="64"/>
  <c r="BA746" i="64" s="1"/>
  <c r="AZ744" i="64"/>
  <c r="AZ746" i="64" s="1"/>
  <c r="AV744" i="64"/>
  <c r="AV746" i="64" s="1"/>
  <c r="AS744" i="64"/>
  <c r="AS746" i="64" s="1"/>
  <c r="AR744" i="64"/>
  <c r="AR746" i="64" s="1"/>
  <c r="AN744" i="64"/>
  <c r="AN746" i="64" s="1"/>
  <c r="AM744" i="64"/>
  <c r="AM746" i="64" s="1"/>
  <c r="AI744" i="64"/>
  <c r="AI746" i="64" s="1"/>
  <c r="AH744" i="64"/>
  <c r="AF744" i="64"/>
  <c r="AF746" i="64" s="1"/>
  <c r="AE744" i="64"/>
  <c r="AE746" i="64" s="1"/>
  <c r="AA744" i="64"/>
  <c r="AA746" i="64" s="1"/>
  <c r="V744" i="64"/>
  <c r="V746" i="64" s="1"/>
  <c r="U744" i="64"/>
  <c r="U746" i="64" s="1"/>
  <c r="S744" i="64"/>
  <c r="S746" i="64" s="1"/>
  <c r="R744" i="64"/>
  <c r="R746" i="64" s="1"/>
  <c r="P744" i="64"/>
  <c r="P746" i="64" s="1"/>
  <c r="N744" i="64"/>
  <c r="N746" i="64" s="1"/>
  <c r="M744" i="64"/>
  <c r="M746" i="64" s="1"/>
  <c r="I744" i="64"/>
  <c r="I746" i="64" s="1"/>
  <c r="H744" i="64"/>
  <c r="BW743" i="64"/>
  <c r="BX743" i="64" s="1"/>
  <c r="BJ743" i="64"/>
  <c r="BK743" i="64" s="1"/>
  <c r="AU743" i="64"/>
  <c r="AW743" i="64" s="1"/>
  <c r="AJ743" i="64"/>
  <c r="AK743" i="64" s="1"/>
  <c r="W743" i="64"/>
  <c r="X743" i="64" s="1"/>
  <c r="J743" i="64"/>
  <c r="K743" i="64" s="1"/>
  <c r="BW742" i="64"/>
  <c r="BX742" i="64" s="1"/>
  <c r="BJ742" i="64"/>
  <c r="BK742" i="64" s="1"/>
  <c r="AU742" i="64"/>
  <c r="AW742" i="64" s="1"/>
  <c r="AJ742" i="64"/>
  <c r="AK742" i="64" s="1"/>
  <c r="W742" i="64"/>
  <c r="J742" i="64"/>
  <c r="K742" i="64" s="1"/>
  <c r="BW741" i="64"/>
  <c r="BX741" i="64" s="1"/>
  <c r="BJ741" i="64"/>
  <c r="BK741" i="64" s="1"/>
  <c r="AU741" i="64"/>
  <c r="AW741" i="64" s="1"/>
  <c r="AX741" i="64" s="1"/>
  <c r="AJ741" i="64"/>
  <c r="AK741" i="64" s="1"/>
  <c r="W741" i="64"/>
  <c r="J741" i="64"/>
  <c r="K741" i="64" s="1"/>
  <c r="AU740" i="64"/>
  <c r="BW739" i="64"/>
  <c r="BX739" i="64" s="1"/>
  <c r="BJ739" i="64"/>
  <c r="BK739" i="64" s="1"/>
  <c r="AU739" i="64"/>
  <c r="AW739" i="64" s="1"/>
  <c r="AX739" i="64" s="1"/>
  <c r="AJ739" i="64"/>
  <c r="AK739" i="64" s="1"/>
  <c r="W739" i="64"/>
  <c r="Z739" i="64" s="1"/>
  <c r="J739" i="64"/>
  <c r="K739" i="64" s="1"/>
  <c r="BW738" i="64"/>
  <c r="BX738" i="64" s="1"/>
  <c r="BJ738" i="64"/>
  <c r="BK738" i="64" s="1"/>
  <c r="AU738" i="64"/>
  <c r="AW738" i="64" s="1"/>
  <c r="AX738" i="64" s="1"/>
  <c r="AJ738" i="64"/>
  <c r="AK738" i="64" s="1"/>
  <c r="W738" i="64"/>
  <c r="Z738" i="64" s="1"/>
  <c r="J738" i="64"/>
  <c r="K738" i="64" s="1"/>
  <c r="BW737" i="64"/>
  <c r="BX737" i="64" s="1"/>
  <c r="BJ737" i="64"/>
  <c r="BK737" i="64" s="1"/>
  <c r="AU737" i="64"/>
  <c r="AJ737" i="64"/>
  <c r="AK737" i="64" s="1"/>
  <c r="W737" i="64"/>
  <c r="J737" i="64"/>
  <c r="CF732" i="64"/>
  <c r="O265" i="3"/>
  <c r="BZ732" i="64"/>
  <c r="N265" i="3" s="1"/>
  <c r="BV732" i="64"/>
  <c r="BU732" i="64"/>
  <c r="BR732" i="64"/>
  <c r="L265" i="3" s="1"/>
  <c r="BN732" i="64"/>
  <c r="BM732" i="64"/>
  <c r="BI732" i="64"/>
  <c r="BF732" i="64"/>
  <c r="K265" i="3" s="1"/>
  <c r="AZ732" i="64"/>
  <c r="AV732" i="64"/>
  <c r="AS732" i="64"/>
  <c r="J265" i="3" s="1"/>
  <c r="AR732" i="64"/>
  <c r="AN732" i="64"/>
  <c r="AM732" i="64"/>
  <c r="AI732" i="64"/>
  <c r="AH732" i="64"/>
  <c r="AF732" i="64"/>
  <c r="I265" i="3" s="1"/>
  <c r="Z732" i="64"/>
  <c r="V732" i="64"/>
  <c r="U732" i="64"/>
  <c r="S732" i="64"/>
  <c r="H265" i="3" s="1"/>
  <c r="R732" i="64"/>
  <c r="P732" i="64"/>
  <c r="N732" i="64"/>
  <c r="M732" i="64"/>
  <c r="I732" i="64"/>
  <c r="H732" i="64"/>
  <c r="BW731" i="64"/>
  <c r="BX731" i="64" s="1"/>
  <c r="BJ731" i="64"/>
  <c r="BK731" i="64" s="1"/>
  <c r="AU731" i="64"/>
  <c r="AW731" i="64" s="1"/>
  <c r="AJ731" i="64"/>
  <c r="AK731" i="64" s="1"/>
  <c r="W731" i="64"/>
  <c r="X731" i="64" s="1"/>
  <c r="K731" i="64"/>
  <c r="J731" i="64"/>
  <c r="BW730" i="64"/>
  <c r="BX730" i="64" s="1"/>
  <c r="BH730" i="64"/>
  <c r="BJ730" i="64" s="1"/>
  <c r="BE730" i="64"/>
  <c r="BE732" i="64" s="1"/>
  <c r="BA730" i="64"/>
  <c r="BA732" i="64" s="1"/>
  <c r="AU730" i="64"/>
  <c r="AW730" i="64" s="1"/>
  <c r="AX730" i="64" s="1"/>
  <c r="AJ730" i="64"/>
  <c r="AK730" i="64" s="1"/>
  <c r="W730" i="64"/>
  <c r="X730" i="64" s="1"/>
  <c r="J730" i="64"/>
  <c r="K730" i="64" s="1"/>
  <c r="BX729" i="64"/>
  <c r="BW729" i="64"/>
  <c r="BK729" i="64"/>
  <c r="BJ729" i="64"/>
  <c r="AX729" i="64"/>
  <c r="AW729" i="64"/>
  <c r="AK729" i="64"/>
  <c r="AJ729" i="64"/>
  <c r="W729" i="64"/>
  <c r="X729" i="64" s="1"/>
  <c r="J729" i="64"/>
  <c r="K729" i="64" s="1"/>
  <c r="BW728" i="64"/>
  <c r="BX728" i="64" s="1"/>
  <c r="BJ728" i="64"/>
  <c r="BK728" i="64" s="1"/>
  <c r="AU728" i="64"/>
  <c r="AW728" i="64" s="1"/>
  <c r="AJ728" i="64"/>
  <c r="AK728" i="64" s="1"/>
  <c r="W728" i="64"/>
  <c r="X728" i="64" s="1"/>
  <c r="J728" i="64"/>
  <c r="K728" i="64" s="1"/>
  <c r="BW727" i="64"/>
  <c r="BX727" i="64" s="1"/>
  <c r="BJ727" i="64"/>
  <c r="BK727" i="64" s="1"/>
  <c r="AU727" i="64"/>
  <c r="AW727" i="64" s="1"/>
  <c r="AJ727" i="64"/>
  <c r="AK727" i="64" s="1"/>
  <c r="W727" i="64"/>
  <c r="X727" i="64" s="1"/>
  <c r="J727" i="64"/>
  <c r="K727" i="64" s="1"/>
  <c r="BX726" i="64"/>
  <c r="BW726" i="64"/>
  <c r="BK726" i="64"/>
  <c r="BJ726" i="64"/>
  <c r="BW725" i="64"/>
  <c r="BX725" i="64" s="1"/>
  <c r="BJ725" i="64"/>
  <c r="BK725" i="64" s="1"/>
  <c r="AU725" i="64"/>
  <c r="AW725" i="64" s="1"/>
  <c r="AX725" i="64" s="1"/>
  <c r="AJ725" i="64"/>
  <c r="AK725" i="64" s="1"/>
  <c r="AE725" i="64"/>
  <c r="AE732" i="64" s="1"/>
  <c r="AA725" i="64"/>
  <c r="AA732" i="64" s="1"/>
  <c r="X725" i="64"/>
  <c r="W725" i="64"/>
  <c r="K725" i="64"/>
  <c r="J725" i="64"/>
  <c r="BW724" i="64"/>
  <c r="BJ724" i="64"/>
  <c r="BK724" i="64" s="1"/>
  <c r="AU724" i="64"/>
  <c r="AW724" i="64" s="1"/>
  <c r="AK724" i="64"/>
  <c r="AJ724" i="64"/>
  <c r="BW723" i="64"/>
  <c r="BX723" i="64" s="1"/>
  <c r="BJ723" i="64"/>
  <c r="BK723" i="64" s="1"/>
  <c r="AU723" i="64"/>
  <c r="AK723" i="64"/>
  <c r="AJ723" i="64"/>
  <c r="CF719" i="64"/>
  <c r="O262" i="3"/>
  <c r="BZ719" i="64"/>
  <c r="N262" i="3" s="1"/>
  <c r="BV719" i="64"/>
  <c r="BU719" i="64"/>
  <c r="BR719" i="64"/>
  <c r="L262" i="3" s="1"/>
  <c r="BN719" i="64"/>
  <c r="BM719" i="64"/>
  <c r="BI719" i="64"/>
  <c r="BH719" i="64"/>
  <c r="BF719" i="64"/>
  <c r="K262" i="3" s="1"/>
  <c r="BE719" i="64"/>
  <c r="BA719" i="64"/>
  <c r="AZ719" i="64"/>
  <c r="AV719" i="64"/>
  <c r="AS719" i="64"/>
  <c r="J262" i="3" s="1"/>
  <c r="AI719" i="64"/>
  <c r="AH719" i="64"/>
  <c r="AF719" i="64"/>
  <c r="I262" i="3" s="1"/>
  <c r="AE719" i="64"/>
  <c r="AA719" i="64"/>
  <c r="Z719" i="64"/>
  <c r="V719" i="64"/>
  <c r="S719" i="64"/>
  <c r="H262" i="3" s="1"/>
  <c r="P719" i="64"/>
  <c r="M719" i="64"/>
  <c r="I719" i="64"/>
  <c r="H719" i="64"/>
  <c r="BW718" i="64"/>
  <c r="BX718" i="64" s="1"/>
  <c r="BJ718" i="64"/>
  <c r="BK718" i="64" s="1"/>
  <c r="AU718" i="64"/>
  <c r="AW718" i="64" s="1"/>
  <c r="AJ718" i="64"/>
  <c r="AK718" i="64" s="1"/>
  <c r="W718" i="64"/>
  <c r="X718" i="64" s="1"/>
  <c r="K718" i="64"/>
  <c r="J718" i="64"/>
  <c r="BW717" i="64"/>
  <c r="BJ717" i="64"/>
  <c r="BK717" i="64" s="1"/>
  <c r="AR717" i="64"/>
  <c r="AR719" i="64" s="1"/>
  <c r="AN717" i="64"/>
  <c r="AN719" i="64" s="1"/>
  <c r="AM717" i="64"/>
  <c r="AM719" i="64" s="1"/>
  <c r="AJ717" i="64"/>
  <c r="AK717" i="64" s="1"/>
  <c r="W717" i="64"/>
  <c r="X717" i="64" s="1"/>
  <c r="J717" i="64"/>
  <c r="K717" i="64" s="1"/>
  <c r="BW716" i="64"/>
  <c r="BX716" i="64" s="1"/>
  <c r="BJ716" i="64"/>
  <c r="AU716" i="64"/>
  <c r="AW716" i="64" s="1"/>
  <c r="AJ716" i="64"/>
  <c r="U716" i="64"/>
  <c r="R716" i="64"/>
  <c r="R719" i="64" s="1"/>
  <c r="N716" i="64"/>
  <c r="N719" i="64" s="1"/>
  <c r="J716" i="64"/>
  <c r="K716" i="64" s="1"/>
  <c r="AC715" i="64"/>
  <c r="CF714" i="64"/>
  <c r="O261" i="3"/>
  <c r="BZ714" i="64"/>
  <c r="N261" i="3" s="1"/>
  <c r="BV714" i="64"/>
  <c r="BU714" i="64"/>
  <c r="BR714" i="64"/>
  <c r="L261" i="3" s="1"/>
  <c r="BN714" i="64"/>
  <c r="BM714" i="64"/>
  <c r="BI714" i="64"/>
  <c r="BH714" i="64"/>
  <c r="BF714" i="64"/>
  <c r="BE714" i="64"/>
  <c r="BA714" i="64"/>
  <c r="AZ714" i="64"/>
  <c r="AV714" i="64"/>
  <c r="AS714" i="64"/>
  <c r="J261" i="3" s="1"/>
  <c r="AR714" i="64"/>
  <c r="AN714" i="64"/>
  <c r="AM714" i="64"/>
  <c r="AI714" i="64"/>
  <c r="AF714" i="64"/>
  <c r="I261" i="3" s="1"/>
  <c r="AE714" i="64"/>
  <c r="AA714" i="64"/>
  <c r="Z714" i="64"/>
  <c r="V714" i="64"/>
  <c r="S714" i="64"/>
  <c r="H261" i="3" s="1"/>
  <c r="P714" i="64"/>
  <c r="M714" i="64"/>
  <c r="I714" i="64"/>
  <c r="H714" i="64"/>
  <c r="BW713" i="64"/>
  <c r="BJ713" i="64"/>
  <c r="AU713" i="64"/>
  <c r="AU714" i="64" s="1"/>
  <c r="AJ713" i="64"/>
  <c r="AJ714" i="64" s="1"/>
  <c r="U713" i="64"/>
  <c r="W713" i="64" s="1"/>
  <c r="W714" i="64" s="1"/>
  <c r="R713" i="64"/>
  <c r="R714" i="64" s="1"/>
  <c r="N713" i="64"/>
  <c r="N714" i="64" s="1"/>
  <c r="J713" i="64"/>
  <c r="CF708" i="64"/>
  <c r="BZ708" i="64"/>
  <c r="BV708" i="64"/>
  <c r="BM708" i="64"/>
  <c r="BI708" i="64"/>
  <c r="BF708" i="64"/>
  <c r="K256" i="3" s="1"/>
  <c r="AZ708" i="64"/>
  <c r="AV708" i="64"/>
  <c r="AS708" i="64"/>
  <c r="AR708" i="64"/>
  <c r="AN708" i="64"/>
  <c r="AM708" i="64"/>
  <c r="AI708" i="64"/>
  <c r="AH708" i="64"/>
  <c r="AF708" i="64"/>
  <c r="AE708" i="64"/>
  <c r="AA708" i="64"/>
  <c r="Z708" i="64"/>
  <c r="V708" i="64"/>
  <c r="U708" i="64"/>
  <c r="S708" i="64"/>
  <c r="R708" i="64"/>
  <c r="P708" i="64"/>
  <c r="N708" i="64"/>
  <c r="M708" i="64"/>
  <c r="I708" i="64"/>
  <c r="H708" i="64"/>
  <c r="BW707" i="64"/>
  <c r="BX707" i="64" s="1"/>
  <c r="BJ707" i="64"/>
  <c r="BK707" i="64" s="1"/>
  <c r="AU707" i="64"/>
  <c r="AW707" i="64" s="1"/>
  <c r="AX707" i="64" s="1"/>
  <c r="AJ707" i="64"/>
  <c r="AK707" i="64" s="1"/>
  <c r="W707" i="64"/>
  <c r="X707" i="64" s="1"/>
  <c r="J707" i="64"/>
  <c r="K707" i="64" s="1"/>
  <c r="BW706" i="64"/>
  <c r="BX706" i="64" s="1"/>
  <c r="BJ706" i="64"/>
  <c r="BK706" i="64" s="1"/>
  <c r="AU706" i="64"/>
  <c r="AW706" i="64" s="1"/>
  <c r="AJ706" i="64"/>
  <c r="AK706" i="64" s="1"/>
  <c r="W706" i="64"/>
  <c r="X706" i="64" s="1"/>
  <c r="J706" i="64"/>
  <c r="K706" i="64" s="1"/>
  <c r="BW705" i="64"/>
  <c r="BX705" i="64" s="1"/>
  <c r="BJ705" i="64"/>
  <c r="BK705" i="64" s="1"/>
  <c r="AU705" i="64"/>
  <c r="AJ705" i="64"/>
  <c r="AK705" i="64" s="1"/>
  <c r="W705" i="64"/>
  <c r="X705" i="64" s="1"/>
  <c r="J705" i="64"/>
  <c r="K705" i="64" s="1"/>
  <c r="BW704" i="64"/>
  <c r="BX704" i="64" s="1"/>
  <c r="BJ704" i="64"/>
  <c r="BK704" i="64" s="1"/>
  <c r="AU704" i="64"/>
  <c r="AJ704" i="64"/>
  <c r="AK704" i="64" s="1"/>
  <c r="W704" i="64"/>
  <c r="X704" i="64" s="1"/>
  <c r="J704" i="64"/>
  <c r="K704" i="64" s="1"/>
  <c r="BW703" i="64"/>
  <c r="BX703" i="64" s="1"/>
  <c r="BJ703" i="64"/>
  <c r="BK703" i="64" s="1"/>
  <c r="AU703" i="64"/>
  <c r="AJ703" i="64"/>
  <c r="AK703" i="64" s="1"/>
  <c r="W703" i="64"/>
  <c r="X703" i="64" s="1"/>
  <c r="J703" i="64"/>
  <c r="K703" i="64" s="1"/>
  <c r="BW702" i="64"/>
  <c r="BX702" i="64" s="1"/>
  <c r="BJ702" i="64"/>
  <c r="BK702" i="64" s="1"/>
  <c r="AU702" i="64"/>
  <c r="AW702" i="64" s="1"/>
  <c r="AX702" i="64" s="1"/>
  <c r="AJ702" i="64"/>
  <c r="AK702" i="64" s="1"/>
  <c r="W702" i="64"/>
  <c r="X702" i="64" s="1"/>
  <c r="J702" i="64"/>
  <c r="K702" i="64" s="1"/>
  <c r="BW701" i="64"/>
  <c r="BX701" i="64" s="1"/>
  <c r="BJ701" i="64"/>
  <c r="BK701" i="64" s="1"/>
  <c r="AU701" i="64"/>
  <c r="AW701" i="64" s="1"/>
  <c r="AX701" i="64" s="1"/>
  <c r="AJ701" i="64"/>
  <c r="AK701" i="64" s="1"/>
  <c r="W701" i="64"/>
  <c r="X701" i="64" s="1"/>
  <c r="J701" i="64"/>
  <c r="K701" i="64" s="1"/>
  <c r="BW700" i="64"/>
  <c r="BX700" i="64" s="1"/>
  <c r="BJ700" i="64"/>
  <c r="BK700" i="64" s="1"/>
  <c r="AU700" i="64"/>
  <c r="AW700" i="64" s="1"/>
  <c r="AX700" i="64" s="1"/>
  <c r="AJ700" i="64"/>
  <c r="AK700" i="64" s="1"/>
  <c r="W700" i="64"/>
  <c r="X700" i="64" s="1"/>
  <c r="J700" i="64"/>
  <c r="K700" i="64" s="1"/>
  <c r="BW699" i="64"/>
  <c r="BX699" i="64" s="1"/>
  <c r="BJ699" i="64"/>
  <c r="BK699" i="64" s="1"/>
  <c r="AU699" i="64"/>
  <c r="AJ699" i="64"/>
  <c r="AK699" i="64" s="1"/>
  <c r="W699" i="64"/>
  <c r="X699" i="64" s="1"/>
  <c r="J699" i="64"/>
  <c r="K699" i="64" s="1"/>
  <c r="BU698" i="64"/>
  <c r="BR698" i="64"/>
  <c r="BN698" i="64"/>
  <c r="BJ698" i="64"/>
  <c r="BK698" i="64" s="1"/>
  <c r="AU698" i="64"/>
  <c r="AX698" i="64" s="1"/>
  <c r="BW697" i="64"/>
  <c r="BX697" i="64" s="1"/>
  <c r="BJ697" i="64"/>
  <c r="BK697" i="64" s="1"/>
  <c r="AU697" i="64"/>
  <c r="AW697" i="64" s="1"/>
  <c r="AX697" i="64" s="1"/>
  <c r="AJ697" i="64"/>
  <c r="AK697" i="64" s="1"/>
  <c r="W697" i="64"/>
  <c r="X697" i="64" s="1"/>
  <c r="J697" i="64"/>
  <c r="K697" i="64" s="1"/>
  <c r="BW696" i="64"/>
  <c r="BX696" i="64" s="1"/>
  <c r="BK696" i="64"/>
  <c r="BJ696" i="64"/>
  <c r="BU695" i="64"/>
  <c r="BR695" i="64"/>
  <c r="BN695" i="64"/>
  <c r="BH695" i="64"/>
  <c r="BJ695" i="64" s="1"/>
  <c r="BE695" i="64"/>
  <c r="BE708" i="64" s="1"/>
  <c r="BA695" i="64"/>
  <c r="BA708" i="64" s="1"/>
  <c r="AU695" i="64"/>
  <c r="AW695" i="64" s="1"/>
  <c r="AX695" i="64" s="1"/>
  <c r="AJ695" i="64"/>
  <c r="W695" i="64"/>
  <c r="X695" i="64" s="1"/>
  <c r="J695" i="64"/>
  <c r="K695" i="64" s="1"/>
  <c r="CF691" i="64"/>
  <c r="O253" i="3"/>
  <c r="BZ691" i="64"/>
  <c r="N253" i="3" s="1"/>
  <c r="BV691" i="64"/>
  <c r="BM691" i="64"/>
  <c r="BI691" i="64"/>
  <c r="BH691" i="64"/>
  <c r="BF691" i="64"/>
  <c r="K253" i="3" s="1"/>
  <c r="BE691" i="64"/>
  <c r="BA691" i="64"/>
  <c r="AZ691" i="64"/>
  <c r="AV691" i="64"/>
  <c r="AS691" i="64"/>
  <c r="J253" i="3" s="1"/>
  <c r="AR691" i="64"/>
  <c r="AN691" i="64"/>
  <c r="AM691" i="64"/>
  <c r="AI691" i="64"/>
  <c r="AF691" i="64"/>
  <c r="I253" i="3" s="1"/>
  <c r="AE691" i="64"/>
  <c r="AA691" i="64"/>
  <c r="Z691" i="64"/>
  <c r="V691" i="64"/>
  <c r="U691" i="64"/>
  <c r="S691" i="64"/>
  <c r="H253" i="3" s="1"/>
  <c r="R691" i="64"/>
  <c r="P691" i="64"/>
  <c r="N691" i="64"/>
  <c r="M691" i="64"/>
  <c r="I691" i="64"/>
  <c r="H691" i="64"/>
  <c r="BW690" i="64"/>
  <c r="BX690" i="64" s="1"/>
  <c r="BK690" i="64"/>
  <c r="BJ690" i="64"/>
  <c r="AU690" i="64"/>
  <c r="AX690" i="64" s="1"/>
  <c r="AK690" i="64"/>
  <c r="AJ690" i="64"/>
  <c r="W690" i="64"/>
  <c r="X690" i="64" s="1"/>
  <c r="J690" i="64"/>
  <c r="K690" i="64" s="1"/>
  <c r="BX689" i="64"/>
  <c r="BW689" i="64"/>
  <c r="BK689" i="64"/>
  <c r="BJ689" i="64"/>
  <c r="AU689" i="64"/>
  <c r="AX689" i="64" s="1"/>
  <c r="AK689" i="64"/>
  <c r="AJ689" i="64"/>
  <c r="X689" i="64"/>
  <c r="W689" i="64"/>
  <c r="J689" i="64"/>
  <c r="K689" i="64" s="1"/>
  <c r="BU688" i="64"/>
  <c r="BW688" i="64" s="1"/>
  <c r="BR688" i="64"/>
  <c r="BR691" i="64" s="1"/>
  <c r="L253" i="3" s="1"/>
  <c r="BN688" i="64"/>
  <c r="BN691" i="64" s="1"/>
  <c r="BJ688" i="64"/>
  <c r="BK688" i="64" s="1"/>
  <c r="AU688" i="64"/>
  <c r="AW688" i="64" s="1"/>
  <c r="AJ688" i="64"/>
  <c r="AK688" i="64" s="1"/>
  <c r="W688" i="64"/>
  <c r="X688" i="64" s="1"/>
  <c r="J688" i="64"/>
  <c r="CF686" i="64"/>
  <c r="O252" i="3"/>
  <c r="BZ686" i="64"/>
  <c r="N252" i="3" s="1"/>
  <c r="BV686" i="64"/>
  <c r="BU686" i="64"/>
  <c r="BR686" i="64"/>
  <c r="L252" i="3" s="1"/>
  <c r="BN686" i="64"/>
  <c r="BM686" i="64"/>
  <c r="BI686" i="64"/>
  <c r="BH686" i="64"/>
  <c r="BF686" i="64"/>
  <c r="K252" i="3" s="1"/>
  <c r="BE686" i="64"/>
  <c r="BA686" i="64"/>
  <c r="AZ686" i="64"/>
  <c r="AV686" i="64"/>
  <c r="AS686" i="64"/>
  <c r="J252" i="3" s="1"/>
  <c r="AR686" i="64"/>
  <c r="AN686" i="64"/>
  <c r="AM686" i="64"/>
  <c r="AI686" i="64"/>
  <c r="AF686" i="64"/>
  <c r="I252" i="3" s="1"/>
  <c r="AE686" i="64"/>
  <c r="AA686" i="64"/>
  <c r="Z686" i="64"/>
  <c r="V686" i="64"/>
  <c r="U686" i="64"/>
  <c r="S686" i="64"/>
  <c r="H252" i="3" s="1"/>
  <c r="R686" i="64"/>
  <c r="P686" i="64"/>
  <c r="N686" i="64"/>
  <c r="M686" i="64"/>
  <c r="I686" i="64"/>
  <c r="H686" i="64"/>
  <c r="BX685" i="64"/>
  <c r="BW685" i="64"/>
  <c r="BK685" i="64"/>
  <c r="BJ685" i="64"/>
  <c r="AU685" i="64"/>
  <c r="AW685" i="64" s="1"/>
  <c r="AJ685" i="64"/>
  <c r="AK685" i="64" s="1"/>
  <c r="W685" i="64"/>
  <c r="X685" i="64" s="1"/>
  <c r="K685" i="64"/>
  <c r="J685" i="64"/>
  <c r="BW684" i="64"/>
  <c r="BJ684" i="64"/>
  <c r="BK684" i="64" s="1"/>
  <c r="AU684" i="64"/>
  <c r="AW684" i="64" s="1"/>
  <c r="AJ684" i="64"/>
  <c r="W684" i="64"/>
  <c r="J684" i="64"/>
  <c r="CF676" i="64"/>
  <c r="CF678" i="64" s="1"/>
  <c r="BZ676" i="64"/>
  <c r="BZ678" i="64" s="1"/>
  <c r="BV676" i="64"/>
  <c r="BV678" i="64" s="1"/>
  <c r="BU676" i="64"/>
  <c r="BR676" i="64"/>
  <c r="BR678" i="64" s="1"/>
  <c r="BN676" i="64"/>
  <c r="BN678" i="64" s="1"/>
  <c r="BM676" i="64"/>
  <c r="BM678" i="64" s="1"/>
  <c r="BI676" i="64"/>
  <c r="BI678" i="64" s="1"/>
  <c r="BF676" i="64"/>
  <c r="AZ676" i="64"/>
  <c r="AZ678" i="64" s="1"/>
  <c r="AV676" i="64"/>
  <c r="AV678" i="64" s="1"/>
  <c r="AS676" i="64"/>
  <c r="AS678" i="64" s="1"/>
  <c r="AR676" i="64"/>
  <c r="AR678" i="64" s="1"/>
  <c r="AN676" i="64"/>
  <c r="AN678" i="64" s="1"/>
  <c r="AM676" i="64"/>
  <c r="AM678" i="64" s="1"/>
  <c r="AI676" i="64"/>
  <c r="AI678" i="64" s="1"/>
  <c r="AF676" i="64"/>
  <c r="AF678" i="64" s="1"/>
  <c r="AE676" i="64"/>
  <c r="AE678" i="64" s="1"/>
  <c r="AA676" i="64"/>
  <c r="AA678" i="64" s="1"/>
  <c r="Z676" i="64"/>
  <c r="Z678" i="64" s="1"/>
  <c r="V676" i="64"/>
  <c r="V678" i="64" s="1"/>
  <c r="U676" i="64"/>
  <c r="U678" i="64" s="1"/>
  <c r="X678" i="64" s="1"/>
  <c r="S676" i="64"/>
  <c r="S678" i="64" s="1"/>
  <c r="R676" i="64"/>
  <c r="R678" i="64" s="1"/>
  <c r="P676" i="64"/>
  <c r="P678" i="64" s="1"/>
  <c r="N676" i="64"/>
  <c r="N678" i="64" s="1"/>
  <c r="M676" i="64"/>
  <c r="M678" i="64" s="1"/>
  <c r="I676" i="64"/>
  <c r="I678" i="64" s="1"/>
  <c r="H676" i="64"/>
  <c r="H678" i="64" s="1"/>
  <c r="K678" i="64" s="1"/>
  <c r="BW672" i="64"/>
  <c r="BX672" i="64" s="1"/>
  <c r="BH672" i="64"/>
  <c r="BJ672" i="64" s="1"/>
  <c r="BE672" i="64"/>
  <c r="BE676" i="64" s="1"/>
  <c r="BE678" i="64" s="1"/>
  <c r="BA672" i="64"/>
  <c r="BA676" i="64" s="1"/>
  <c r="BA678" i="64" s="1"/>
  <c r="AU672" i="64"/>
  <c r="AJ672" i="64"/>
  <c r="AJ676" i="64" s="1"/>
  <c r="X672" i="64"/>
  <c r="W672" i="64"/>
  <c r="W676" i="64" s="1"/>
  <c r="W678" i="64" s="1"/>
  <c r="K672" i="64"/>
  <c r="J672" i="64"/>
  <c r="J676" i="64" s="1"/>
  <c r="J678" i="64" s="1"/>
  <c r="CF667" i="64"/>
  <c r="O239" i="3"/>
  <c r="BZ667" i="64"/>
  <c r="N239" i="3" s="1"/>
  <c r="BV667" i="64"/>
  <c r="BM667" i="64"/>
  <c r="BI667" i="64"/>
  <c r="BH667" i="64"/>
  <c r="BF667" i="64"/>
  <c r="K239" i="3" s="1"/>
  <c r="BE667" i="64"/>
  <c r="BA667" i="64"/>
  <c r="AZ667" i="64"/>
  <c r="AV667" i="64"/>
  <c r="AS667" i="64"/>
  <c r="J239" i="3" s="1"/>
  <c r="AR667" i="64"/>
  <c r="AN667" i="64"/>
  <c r="AM667" i="64"/>
  <c r="AI667" i="64"/>
  <c r="AH667" i="64"/>
  <c r="AF667" i="64"/>
  <c r="I239" i="3" s="1"/>
  <c r="Z667" i="64"/>
  <c r="V667" i="64"/>
  <c r="U667" i="64"/>
  <c r="S667" i="64"/>
  <c r="H239" i="3" s="1"/>
  <c r="R667" i="64"/>
  <c r="P667" i="64"/>
  <c r="N667" i="64"/>
  <c r="M667" i="64"/>
  <c r="I667" i="64"/>
  <c r="H667" i="64"/>
  <c r="BX666" i="64"/>
  <c r="BW666" i="64"/>
  <c r="BJ666" i="64"/>
  <c r="BK666" i="64" s="1"/>
  <c r="AU666" i="64"/>
  <c r="AJ666" i="64"/>
  <c r="AK666" i="64" s="1"/>
  <c r="W666" i="64"/>
  <c r="X666" i="64" s="1"/>
  <c r="J666" i="64"/>
  <c r="K666" i="64" s="1"/>
  <c r="BW665" i="64"/>
  <c r="BX665" i="64" s="1"/>
  <c r="BJ665" i="64"/>
  <c r="BK665" i="64" s="1"/>
  <c r="AU665" i="64"/>
  <c r="AW665" i="64" s="1"/>
  <c r="AJ665" i="64"/>
  <c r="AK665" i="64" s="1"/>
  <c r="W665" i="64"/>
  <c r="X665" i="64" s="1"/>
  <c r="J665" i="64"/>
  <c r="K665" i="64" s="1"/>
  <c r="BW664" i="64"/>
  <c r="BX664" i="64" s="1"/>
  <c r="BJ664" i="64"/>
  <c r="BK664" i="64" s="1"/>
  <c r="AU664" i="64"/>
  <c r="AW664" i="64" s="1"/>
  <c r="AX664" i="64" s="1"/>
  <c r="BW663" i="64"/>
  <c r="BX663" i="64" s="1"/>
  <c r="BJ663" i="64"/>
  <c r="BK663" i="64" s="1"/>
  <c r="AU663" i="64"/>
  <c r="AW663" i="64" s="1"/>
  <c r="AX663" i="64" s="1"/>
  <c r="AJ663" i="64"/>
  <c r="AK663" i="64" s="1"/>
  <c r="W663" i="64"/>
  <c r="X663" i="64" s="1"/>
  <c r="J663" i="64"/>
  <c r="K663" i="64" s="1"/>
  <c r="BW662" i="64"/>
  <c r="BX662" i="64" s="1"/>
  <c r="BJ662" i="64"/>
  <c r="BK662" i="64" s="1"/>
  <c r="AU662" i="64"/>
  <c r="AW662" i="64" s="1"/>
  <c r="AX662" i="64" s="1"/>
  <c r="AJ662" i="64"/>
  <c r="AK662" i="64" s="1"/>
  <c r="W662" i="64"/>
  <c r="X662" i="64" s="1"/>
  <c r="J662" i="64"/>
  <c r="K662" i="64" s="1"/>
  <c r="BX661" i="64"/>
  <c r="BW661" i="64"/>
  <c r="BJ661" i="64"/>
  <c r="BK661" i="64" s="1"/>
  <c r="AU661" i="64"/>
  <c r="AW661" i="64" s="1"/>
  <c r="AX661" i="64" s="1"/>
  <c r="AJ661" i="64"/>
  <c r="AK661" i="64" s="1"/>
  <c r="W661" i="64"/>
  <c r="X661" i="64" s="1"/>
  <c r="J661" i="64"/>
  <c r="K661" i="64" s="1"/>
  <c r="BW660" i="64"/>
  <c r="BX660" i="64" s="1"/>
  <c r="BJ660" i="64"/>
  <c r="BK660" i="64" s="1"/>
  <c r="AU660" i="64"/>
  <c r="AJ660" i="64"/>
  <c r="AK660" i="64" s="1"/>
  <c r="W660" i="64"/>
  <c r="X660" i="64" s="1"/>
  <c r="J660" i="64"/>
  <c r="K660" i="64" s="1"/>
  <c r="BW659" i="64"/>
  <c r="BX659" i="64" s="1"/>
  <c r="BJ659" i="64"/>
  <c r="BK659" i="64" s="1"/>
  <c r="AU659" i="64"/>
  <c r="AW659" i="64" s="1"/>
  <c r="AJ659" i="64"/>
  <c r="AK659" i="64" s="1"/>
  <c r="W659" i="64"/>
  <c r="X659" i="64" s="1"/>
  <c r="J659" i="64"/>
  <c r="K659" i="64" s="1"/>
  <c r="BW658" i="64"/>
  <c r="BX658" i="64" s="1"/>
  <c r="BJ658" i="64"/>
  <c r="BK658" i="64" s="1"/>
  <c r="AU658" i="64"/>
  <c r="AW658" i="64" s="1"/>
  <c r="AJ658" i="64"/>
  <c r="AK658" i="64" s="1"/>
  <c r="W658" i="64"/>
  <c r="X658" i="64" s="1"/>
  <c r="J658" i="64"/>
  <c r="K658" i="64" s="1"/>
  <c r="BW657" i="64"/>
  <c r="BX657" i="64" s="1"/>
  <c r="BJ657" i="64"/>
  <c r="BK657" i="64" s="1"/>
  <c r="AU657" i="64"/>
  <c r="AW657" i="64" s="1"/>
  <c r="AJ657" i="64"/>
  <c r="AK657" i="64" s="1"/>
  <c r="AE657" i="64"/>
  <c r="AE667" i="64" s="1"/>
  <c r="AA657" i="64"/>
  <c r="AA667" i="64" s="1"/>
  <c r="W657" i="64"/>
  <c r="X657" i="64" s="1"/>
  <c r="J657" i="64"/>
  <c r="K657" i="64" s="1"/>
  <c r="BW656" i="64"/>
  <c r="BX656" i="64" s="1"/>
  <c r="BJ656" i="64"/>
  <c r="BK656" i="64" s="1"/>
  <c r="AU656" i="64"/>
  <c r="AJ656" i="64"/>
  <c r="AK656" i="64" s="1"/>
  <c r="W656" i="64"/>
  <c r="X656" i="64" s="1"/>
  <c r="J656" i="64"/>
  <c r="K656" i="64" s="1"/>
  <c r="BW655" i="64"/>
  <c r="BX655" i="64" s="1"/>
  <c r="BJ655" i="64"/>
  <c r="BK655" i="64" s="1"/>
  <c r="AU655" i="64"/>
  <c r="AW655" i="64" s="1"/>
  <c r="AJ655" i="64"/>
  <c r="AK655" i="64" s="1"/>
  <c r="W655" i="64"/>
  <c r="X655" i="64" s="1"/>
  <c r="J655" i="64"/>
  <c r="K655" i="64" s="1"/>
  <c r="BW654" i="64"/>
  <c r="BX654" i="64" s="1"/>
  <c r="BJ654" i="64"/>
  <c r="BK654" i="64" s="1"/>
  <c r="AU654" i="64"/>
  <c r="AW654" i="64" s="1"/>
  <c r="AX654" i="64" s="1"/>
  <c r="AJ654" i="64"/>
  <c r="AK654" i="64" s="1"/>
  <c r="W654" i="64"/>
  <c r="X654" i="64" s="1"/>
  <c r="J654" i="64"/>
  <c r="K654" i="64" s="1"/>
  <c r="BW653" i="64"/>
  <c r="BX653" i="64" s="1"/>
  <c r="BJ653" i="64"/>
  <c r="BK653" i="64" s="1"/>
  <c r="AU653" i="64"/>
  <c r="AW653" i="64" s="1"/>
  <c r="AJ653" i="64"/>
  <c r="AK653" i="64" s="1"/>
  <c r="W653" i="64"/>
  <c r="X653" i="64" s="1"/>
  <c r="J653" i="64"/>
  <c r="K653" i="64" s="1"/>
  <c r="BW651" i="64"/>
  <c r="BX651" i="64" s="1"/>
  <c r="BJ651" i="64"/>
  <c r="BK651" i="64" s="1"/>
  <c r="AU651" i="64"/>
  <c r="AW651" i="64" s="1"/>
  <c r="AJ651" i="64"/>
  <c r="AK651" i="64" s="1"/>
  <c r="W651" i="64"/>
  <c r="X651" i="64" s="1"/>
  <c r="J651" i="64"/>
  <c r="K651" i="64" s="1"/>
  <c r="BW650" i="64"/>
  <c r="BX650" i="64" s="1"/>
  <c r="BJ650" i="64"/>
  <c r="BK650" i="64" s="1"/>
  <c r="AU650" i="64"/>
  <c r="AW650" i="64" s="1"/>
  <c r="AX650" i="64" s="1"/>
  <c r="AJ650" i="64"/>
  <c r="AK650" i="64" s="1"/>
  <c r="W650" i="64"/>
  <c r="X650" i="64" s="1"/>
  <c r="J650" i="64"/>
  <c r="K650" i="64" s="1"/>
  <c r="BW649" i="64"/>
  <c r="BX649" i="64" s="1"/>
  <c r="BJ649" i="64"/>
  <c r="BK649" i="64" s="1"/>
  <c r="AU649" i="64"/>
  <c r="AJ649" i="64"/>
  <c r="AK649" i="64" s="1"/>
  <c r="W649" i="64"/>
  <c r="X649" i="64" s="1"/>
  <c r="J649" i="64"/>
  <c r="K649" i="64" s="1"/>
  <c r="BX648" i="64"/>
  <c r="BW648" i="64"/>
  <c r="BK648" i="64"/>
  <c r="BJ648" i="64"/>
  <c r="AU648" i="64"/>
  <c r="AK648" i="64"/>
  <c r="AJ648" i="64"/>
  <c r="X648" i="64"/>
  <c r="W648" i="64"/>
  <c r="K648" i="64"/>
  <c r="J648" i="64"/>
  <c r="BW647" i="64"/>
  <c r="BX647" i="64" s="1"/>
  <c r="BJ647" i="64"/>
  <c r="BK647" i="64" s="1"/>
  <c r="AU647" i="64"/>
  <c r="AW647" i="64" s="1"/>
  <c r="AX647" i="64" s="1"/>
  <c r="AJ647" i="64"/>
  <c r="AK647" i="64" s="1"/>
  <c r="W647" i="64"/>
  <c r="X647" i="64" s="1"/>
  <c r="J647" i="64"/>
  <c r="K647" i="64" s="1"/>
  <c r="BW646" i="64"/>
  <c r="BX646" i="64" s="1"/>
  <c r="BJ646" i="64"/>
  <c r="BK646" i="64" s="1"/>
  <c r="AU646" i="64"/>
  <c r="AW646" i="64" s="1"/>
  <c r="AJ646" i="64"/>
  <c r="AK646" i="64" s="1"/>
  <c r="W646" i="64"/>
  <c r="X646" i="64" s="1"/>
  <c r="J646" i="64"/>
  <c r="K646" i="64" s="1"/>
  <c r="BW645" i="64"/>
  <c r="BJ645" i="64"/>
  <c r="AU645" i="64"/>
  <c r="AW645" i="64" s="1"/>
  <c r="AJ645" i="64"/>
  <c r="BW644" i="64"/>
  <c r="BX644" i="64" s="1"/>
  <c r="BJ644" i="64"/>
  <c r="BK644" i="64" s="1"/>
  <c r="AU644" i="64"/>
  <c r="AJ644" i="64"/>
  <c r="AK644" i="64" s="1"/>
  <c r="W644" i="64"/>
  <c r="X644" i="64" s="1"/>
  <c r="J644" i="64"/>
  <c r="K644" i="64" s="1"/>
  <c r="BU643" i="64"/>
  <c r="BR643" i="64"/>
  <c r="BR667" i="64" s="1"/>
  <c r="L239" i="3" s="1"/>
  <c r="BN643" i="64"/>
  <c r="BN667" i="64" s="1"/>
  <c r="BJ643" i="64"/>
  <c r="BK643" i="64" s="1"/>
  <c r="AU643" i="64"/>
  <c r="AJ643" i="64"/>
  <c r="AK643" i="64" s="1"/>
  <c r="W643" i="64"/>
  <c r="X643" i="64" s="1"/>
  <c r="J643" i="64"/>
  <c r="K643" i="64" s="1"/>
  <c r="BW642" i="64"/>
  <c r="BX642" i="64" s="1"/>
  <c r="BJ642" i="64"/>
  <c r="BK642" i="64" s="1"/>
  <c r="AU642" i="64"/>
  <c r="AJ642" i="64"/>
  <c r="AK642" i="64" s="1"/>
  <c r="W642" i="64"/>
  <c r="X642" i="64" s="1"/>
  <c r="J642" i="64"/>
  <c r="K642" i="64" s="1"/>
  <c r="BW641" i="64"/>
  <c r="BX641" i="64" s="1"/>
  <c r="BJ641" i="64"/>
  <c r="BK641" i="64" s="1"/>
  <c r="AU641" i="64"/>
  <c r="AJ641" i="64"/>
  <c r="AK641" i="64" s="1"/>
  <c r="W641" i="64"/>
  <c r="X641" i="64" s="1"/>
  <c r="J641" i="64"/>
  <c r="K641" i="64" s="1"/>
  <c r="BW640" i="64"/>
  <c r="BX640" i="64" s="1"/>
  <c r="BJ640" i="64"/>
  <c r="BK640" i="64" s="1"/>
  <c r="AU640" i="64"/>
  <c r="AW640" i="64" s="1"/>
  <c r="AJ640" i="64"/>
  <c r="AK640" i="64" s="1"/>
  <c r="W640" i="64"/>
  <c r="X640" i="64" s="1"/>
  <c r="J640" i="64"/>
  <c r="K640" i="64" s="1"/>
  <c r="BW639" i="64"/>
  <c r="BX639" i="64" s="1"/>
  <c r="BJ639" i="64"/>
  <c r="AU639" i="64"/>
  <c r="AJ639" i="64"/>
  <c r="AK639" i="64" s="1"/>
  <c r="W639" i="64"/>
  <c r="J639" i="64"/>
  <c r="K639" i="64" s="1"/>
  <c r="CF634" i="64"/>
  <c r="O236" i="3"/>
  <c r="BZ634" i="64"/>
  <c r="N236" i="3" s="1"/>
  <c r="BV634" i="64"/>
  <c r="BU634" i="64"/>
  <c r="BR634" i="64"/>
  <c r="L236" i="3" s="1"/>
  <c r="BN634" i="64"/>
  <c r="BM634" i="64"/>
  <c r="BI634" i="64"/>
  <c r="BH634" i="64"/>
  <c r="BF634" i="64"/>
  <c r="K236" i="3" s="1"/>
  <c r="BE634" i="64"/>
  <c r="BA634" i="64"/>
  <c r="AZ634" i="64"/>
  <c r="AV634" i="64"/>
  <c r="AS634" i="64"/>
  <c r="J236" i="3" s="1"/>
  <c r="AI634" i="64"/>
  <c r="AH634" i="64"/>
  <c r="AH636" i="64" s="1"/>
  <c r="AH669" i="64" s="1"/>
  <c r="AF634" i="64"/>
  <c r="I236" i="3" s="1"/>
  <c r="AE634" i="64"/>
  <c r="AA634" i="64"/>
  <c r="Z634" i="64"/>
  <c r="V634" i="64"/>
  <c r="U634" i="64"/>
  <c r="S634" i="64"/>
  <c r="H236" i="3" s="1"/>
  <c r="R634" i="64"/>
  <c r="P634" i="64"/>
  <c r="N634" i="64"/>
  <c r="M634" i="64"/>
  <c r="I634" i="64"/>
  <c r="H634" i="64"/>
  <c r="BW633" i="64"/>
  <c r="BX633" i="64" s="1"/>
  <c r="BJ633" i="64"/>
  <c r="BK633" i="64" s="1"/>
  <c r="AU633" i="64"/>
  <c r="AJ633" i="64"/>
  <c r="AK633" i="64" s="1"/>
  <c r="W633" i="64"/>
  <c r="X633" i="64" s="1"/>
  <c r="J633" i="64"/>
  <c r="K633" i="64" s="1"/>
  <c r="BW632" i="64"/>
  <c r="BX632" i="64" s="1"/>
  <c r="BJ632" i="64"/>
  <c r="BK632" i="64" s="1"/>
  <c r="AU632" i="64"/>
  <c r="AJ632" i="64"/>
  <c r="AK632" i="64" s="1"/>
  <c r="W632" i="64"/>
  <c r="X632" i="64" s="1"/>
  <c r="J632" i="64"/>
  <c r="K632" i="64" s="1"/>
  <c r="BW631" i="64"/>
  <c r="BX631" i="64" s="1"/>
  <c r="BJ631" i="64"/>
  <c r="BK631" i="64" s="1"/>
  <c r="AU631" i="64"/>
  <c r="AW631" i="64" s="1"/>
  <c r="AX631" i="64" s="1"/>
  <c r="AJ631" i="64"/>
  <c r="AK631" i="64" s="1"/>
  <c r="W631" i="64"/>
  <c r="X631" i="64" s="1"/>
  <c r="J631" i="64"/>
  <c r="K631" i="64" s="1"/>
  <c r="BW630" i="64"/>
  <c r="BX630" i="64" s="1"/>
  <c r="BJ630" i="64"/>
  <c r="BK630" i="64" s="1"/>
  <c r="AU630" i="64"/>
  <c r="AJ630" i="64"/>
  <c r="AK630" i="64" s="1"/>
  <c r="W630" i="64"/>
  <c r="X630" i="64" s="1"/>
  <c r="J630" i="64"/>
  <c r="K630" i="64" s="1"/>
  <c r="BW629" i="64"/>
  <c r="BX629" i="64" s="1"/>
  <c r="BJ629" i="64"/>
  <c r="BK629" i="64" s="1"/>
  <c r="AU629" i="64"/>
  <c r="AJ629" i="64"/>
  <c r="AK629" i="64" s="1"/>
  <c r="W629" i="64"/>
  <c r="X629" i="64" s="1"/>
  <c r="J629" i="64"/>
  <c r="K629" i="64" s="1"/>
  <c r="BX628" i="64"/>
  <c r="BW628" i="64"/>
  <c r="BK628" i="64"/>
  <c r="BJ628" i="64"/>
  <c r="AU628" i="64"/>
  <c r="AW628" i="64" s="1"/>
  <c r="AJ628" i="64"/>
  <c r="AK628" i="64" s="1"/>
  <c r="W628" i="64"/>
  <c r="J628" i="64"/>
  <c r="K628" i="64" s="1"/>
  <c r="BW627" i="64"/>
  <c r="BX627" i="64" s="1"/>
  <c r="BJ627" i="64"/>
  <c r="BK627" i="64" s="1"/>
  <c r="AR627" i="64"/>
  <c r="AR634" i="64" s="1"/>
  <c r="AN627" i="64"/>
  <c r="AN634" i="64" s="1"/>
  <c r="AM627" i="64"/>
  <c r="AM634" i="64" s="1"/>
  <c r="AJ627" i="64"/>
  <c r="AK627" i="64" s="1"/>
  <c r="W627" i="64"/>
  <c r="X627" i="64" s="1"/>
  <c r="J627" i="64"/>
  <c r="BW626" i="64"/>
  <c r="BX626" i="64" s="1"/>
  <c r="BJ626" i="64"/>
  <c r="BK626" i="64" s="1"/>
  <c r="AU626" i="64"/>
  <c r="AW626" i="64" s="1"/>
  <c r="AJ626" i="64"/>
  <c r="W626" i="64"/>
  <c r="X626" i="64" s="1"/>
  <c r="J626" i="64"/>
  <c r="K626" i="64" s="1"/>
  <c r="CF624" i="64"/>
  <c r="O235" i="3"/>
  <c r="BZ624" i="64"/>
  <c r="N235" i="3" s="1"/>
  <c r="BV624" i="64"/>
  <c r="BU624" i="64"/>
  <c r="BR624" i="64"/>
  <c r="L235" i="3" s="1"/>
  <c r="BN624" i="64"/>
  <c r="BM624" i="64"/>
  <c r="BI624" i="64"/>
  <c r="BH624" i="64"/>
  <c r="BF624" i="64"/>
  <c r="K235" i="3" s="1"/>
  <c r="BE624" i="64"/>
  <c r="BA624" i="64"/>
  <c r="AZ624" i="64"/>
  <c r="AV624" i="64"/>
  <c r="AS624" i="64"/>
  <c r="J235" i="3" s="1"/>
  <c r="AR624" i="64"/>
  <c r="AN624" i="64"/>
  <c r="AM624" i="64"/>
  <c r="AI624" i="64"/>
  <c r="AF624" i="64"/>
  <c r="I235" i="3" s="1"/>
  <c r="AE624" i="64"/>
  <c r="AA624" i="64"/>
  <c r="Z624" i="64"/>
  <c r="V624" i="64"/>
  <c r="U624" i="64"/>
  <c r="S624" i="64"/>
  <c r="H235" i="3" s="1"/>
  <c r="R624" i="64"/>
  <c r="P624" i="64"/>
  <c r="N624" i="64"/>
  <c r="M624" i="64"/>
  <c r="I624" i="64"/>
  <c r="H624" i="64"/>
  <c r="BX623" i="64"/>
  <c r="BW623" i="64"/>
  <c r="BJ623" i="64"/>
  <c r="BK623" i="64" s="1"/>
  <c r="AU623" i="64"/>
  <c r="AW623" i="64" s="1"/>
  <c r="AJ623" i="64"/>
  <c r="AK623" i="64" s="1"/>
  <c r="W623" i="64"/>
  <c r="X623" i="64" s="1"/>
  <c r="J623" i="64"/>
  <c r="K623" i="64" s="1"/>
  <c r="BW622" i="64"/>
  <c r="BJ622" i="64"/>
  <c r="AU622" i="64"/>
  <c r="AW622" i="64" s="1"/>
  <c r="AJ622" i="64"/>
  <c r="W622" i="64"/>
  <c r="J622" i="64"/>
  <c r="K622" i="64" s="1"/>
  <c r="CF617" i="64"/>
  <c r="CF619" i="64" s="1"/>
  <c r="BZ617" i="64"/>
  <c r="BV617" i="64"/>
  <c r="BV619" i="64" s="1"/>
  <c r="BU617" i="64"/>
  <c r="BU619" i="64" s="1"/>
  <c r="BR617" i="64"/>
  <c r="BN617" i="64"/>
  <c r="BN619" i="64" s="1"/>
  <c r="BM617" i="64"/>
  <c r="BM619" i="64" s="1"/>
  <c r="BI617" i="64"/>
  <c r="BI619" i="64" s="1"/>
  <c r="BH617" i="64"/>
  <c r="BH619" i="64" s="1"/>
  <c r="BF617" i="64"/>
  <c r="BE617" i="64"/>
  <c r="BE619" i="64" s="1"/>
  <c r="BA617" i="64"/>
  <c r="BA619" i="64" s="1"/>
  <c r="AZ617" i="64"/>
  <c r="AZ619" i="64" s="1"/>
  <c r="AV617" i="64"/>
  <c r="AV619" i="64" s="1"/>
  <c r="AS617" i="64"/>
  <c r="AS619" i="64" s="1"/>
  <c r="AR617" i="64"/>
  <c r="AR619" i="64" s="1"/>
  <c r="AN617" i="64"/>
  <c r="AN619" i="64" s="1"/>
  <c r="AM617" i="64"/>
  <c r="AM619" i="64" s="1"/>
  <c r="AI617" i="64"/>
  <c r="AI619" i="64" s="1"/>
  <c r="AF617" i="64"/>
  <c r="AF619" i="64" s="1"/>
  <c r="AE617" i="64"/>
  <c r="AE619" i="64" s="1"/>
  <c r="AA617" i="64"/>
  <c r="AA619" i="64" s="1"/>
  <c r="Z617" i="64"/>
  <c r="Z619" i="64" s="1"/>
  <c r="V617" i="64"/>
  <c r="V619" i="64" s="1"/>
  <c r="U617" i="64"/>
  <c r="U619" i="64" s="1"/>
  <c r="S617" i="64"/>
  <c r="S619" i="64" s="1"/>
  <c r="R617" i="64"/>
  <c r="R619" i="64" s="1"/>
  <c r="P617" i="64"/>
  <c r="P619" i="64" s="1"/>
  <c r="N617" i="64"/>
  <c r="N619" i="64" s="1"/>
  <c r="M617" i="64"/>
  <c r="M619" i="64" s="1"/>
  <c r="I617" i="64"/>
  <c r="I619" i="64" s="1"/>
  <c r="H617" i="64"/>
  <c r="G617" i="64"/>
  <c r="BW616" i="64"/>
  <c r="BX616" i="64" s="1"/>
  <c r="BJ616" i="64"/>
  <c r="BK616" i="64" s="1"/>
  <c r="AU616" i="64"/>
  <c r="AJ616" i="64"/>
  <c r="AK616" i="64" s="1"/>
  <c r="W616" i="64"/>
  <c r="X616" i="64" s="1"/>
  <c r="J616" i="64"/>
  <c r="K616" i="64" s="1"/>
  <c r="BW615" i="64"/>
  <c r="BJ615" i="64"/>
  <c r="AU615" i="64"/>
  <c r="AJ615" i="64"/>
  <c r="W615" i="64"/>
  <c r="X615" i="64" s="1"/>
  <c r="J615" i="64"/>
  <c r="CF610" i="64"/>
  <c r="CF612" i="64" s="1"/>
  <c r="BZ610" i="64"/>
  <c r="BV610" i="64"/>
  <c r="BV612" i="64" s="1"/>
  <c r="BU610" i="64"/>
  <c r="BU612" i="64" s="1"/>
  <c r="BR610" i="64"/>
  <c r="BN610" i="64"/>
  <c r="BN612" i="64" s="1"/>
  <c r="BM610" i="64"/>
  <c r="BM612" i="64" s="1"/>
  <c r="BI610" i="64"/>
  <c r="BI612" i="64" s="1"/>
  <c r="BH610" i="64"/>
  <c r="BH612" i="64" s="1"/>
  <c r="BF610" i="64"/>
  <c r="BF612" i="64" s="1"/>
  <c r="BE610" i="64"/>
  <c r="BE612" i="64" s="1"/>
  <c r="BA610" i="64"/>
  <c r="BA612" i="64" s="1"/>
  <c r="AZ610" i="64"/>
  <c r="AZ612" i="64" s="1"/>
  <c r="AV610" i="64"/>
  <c r="AV612" i="64" s="1"/>
  <c r="AS610" i="64"/>
  <c r="AS612" i="64" s="1"/>
  <c r="AR610" i="64"/>
  <c r="AR612" i="64" s="1"/>
  <c r="AN610" i="64"/>
  <c r="AN612" i="64" s="1"/>
  <c r="AM610" i="64"/>
  <c r="AM612" i="64" s="1"/>
  <c r="AI610" i="64"/>
  <c r="AI612" i="64" s="1"/>
  <c r="AF610" i="64"/>
  <c r="AF612" i="64" s="1"/>
  <c r="Z610" i="64"/>
  <c r="Z612" i="64" s="1"/>
  <c r="V610" i="64"/>
  <c r="V612" i="64" s="1"/>
  <c r="U610" i="64"/>
  <c r="U612" i="64" s="1"/>
  <c r="S610" i="64"/>
  <c r="S612" i="64" s="1"/>
  <c r="R610" i="64"/>
  <c r="R612" i="64" s="1"/>
  <c r="P610" i="64"/>
  <c r="P612" i="64" s="1"/>
  <c r="N610" i="64"/>
  <c r="N612" i="64" s="1"/>
  <c r="M610" i="64"/>
  <c r="M612" i="64" s="1"/>
  <c r="I610" i="64"/>
  <c r="I612" i="64" s="1"/>
  <c r="H610" i="64"/>
  <c r="H612" i="64" s="1"/>
  <c r="G610" i="64"/>
  <c r="BW609" i="64"/>
  <c r="BX609" i="64" s="1"/>
  <c r="BJ609" i="64"/>
  <c r="AU609" i="64"/>
  <c r="AW609" i="64" s="1"/>
  <c r="AJ609" i="64"/>
  <c r="AK609" i="64" s="1"/>
  <c r="W609" i="64"/>
  <c r="X609" i="64" s="1"/>
  <c r="J609" i="64"/>
  <c r="K609" i="64" s="1"/>
  <c r="BW608" i="64"/>
  <c r="BJ608" i="64"/>
  <c r="BK608" i="64" s="1"/>
  <c r="AU608" i="64"/>
  <c r="AW608" i="64" s="1"/>
  <c r="AJ608" i="64"/>
  <c r="AE608" i="64"/>
  <c r="AE610" i="64" s="1"/>
  <c r="AE612" i="64" s="1"/>
  <c r="AA608" i="64"/>
  <c r="AA610" i="64" s="1"/>
  <c r="AA612" i="64" s="1"/>
  <c r="W608" i="64"/>
  <c r="J608" i="64"/>
  <c r="CF603" i="64"/>
  <c r="CF605" i="64" s="1"/>
  <c r="BZ603" i="64"/>
  <c r="BV603" i="64"/>
  <c r="BV605" i="64" s="1"/>
  <c r="BM603" i="64"/>
  <c r="BM605" i="64" s="1"/>
  <c r="BI603" i="64"/>
  <c r="BI605" i="64" s="1"/>
  <c r="BH603" i="64"/>
  <c r="BF603" i="64"/>
  <c r="BE603" i="64"/>
  <c r="BE605" i="64" s="1"/>
  <c r="BA603" i="64"/>
  <c r="BA605" i="64" s="1"/>
  <c r="AZ603" i="64"/>
  <c r="AZ605" i="64" s="1"/>
  <c r="AV603" i="64"/>
  <c r="AV605" i="64" s="1"/>
  <c r="AS603" i="64"/>
  <c r="AS605" i="64" s="1"/>
  <c r="AI603" i="64"/>
  <c r="AI605" i="64" s="1"/>
  <c r="AF603" i="64"/>
  <c r="Z603" i="64"/>
  <c r="Z605" i="64" s="1"/>
  <c r="V603" i="64"/>
  <c r="V605" i="64" s="1"/>
  <c r="U603" i="64"/>
  <c r="S603" i="64"/>
  <c r="S605" i="64" s="1"/>
  <c r="R603" i="64"/>
  <c r="R605" i="64" s="1"/>
  <c r="P603" i="64"/>
  <c r="P605" i="64" s="1"/>
  <c r="N603" i="64"/>
  <c r="N605" i="64" s="1"/>
  <c r="M603" i="64"/>
  <c r="M605" i="64" s="1"/>
  <c r="I603" i="64"/>
  <c r="I605" i="64" s="1"/>
  <c r="H603" i="64"/>
  <c r="H605" i="64" s="1"/>
  <c r="BU602" i="64"/>
  <c r="BR602" i="64"/>
  <c r="BR603" i="64" s="1"/>
  <c r="BN602" i="64"/>
  <c r="BN603" i="64" s="1"/>
  <c r="BN605" i="64" s="1"/>
  <c r="BJ602" i="64"/>
  <c r="BK602" i="64" s="1"/>
  <c r="AR602" i="64"/>
  <c r="AU602" i="64" s="1"/>
  <c r="AN602" i="64"/>
  <c r="AN603" i="64" s="1"/>
  <c r="AN605" i="64" s="1"/>
  <c r="AM602" i="64"/>
  <c r="AM603" i="64" s="1"/>
  <c r="AM605" i="64" s="1"/>
  <c r="AJ602" i="64"/>
  <c r="AJ603" i="64" s="1"/>
  <c r="AJ605" i="64" s="1"/>
  <c r="AK605" i="64" s="1"/>
  <c r="AE602" i="64"/>
  <c r="AE603" i="64" s="1"/>
  <c r="AE605" i="64" s="1"/>
  <c r="AA602" i="64"/>
  <c r="AA603" i="64" s="1"/>
  <c r="AA605" i="64" s="1"/>
  <c r="W602" i="64"/>
  <c r="J602" i="64"/>
  <c r="J603" i="64" s="1"/>
  <c r="CF597" i="64"/>
  <c r="O215" i="3"/>
  <c r="BZ597" i="64"/>
  <c r="N215" i="3" s="1"/>
  <c r="BV597" i="64"/>
  <c r="BU597" i="64"/>
  <c r="BR597" i="64"/>
  <c r="L215" i="3" s="1"/>
  <c r="BN597" i="64"/>
  <c r="BM597" i="64"/>
  <c r="BI597" i="64"/>
  <c r="BH597" i="64"/>
  <c r="BF597" i="64"/>
  <c r="K215" i="3" s="1"/>
  <c r="BE597" i="64"/>
  <c r="BA597" i="64"/>
  <c r="AZ597" i="64"/>
  <c r="AV597" i="64"/>
  <c r="AS597" i="64"/>
  <c r="J215" i="3" s="1"/>
  <c r="AR597" i="64"/>
  <c r="AN597" i="64"/>
  <c r="AM597" i="64"/>
  <c r="AI597" i="64"/>
  <c r="AH597" i="64"/>
  <c r="AF597" i="64"/>
  <c r="I215" i="3" s="1"/>
  <c r="AE597" i="64"/>
  <c r="AA597" i="64"/>
  <c r="Z597" i="64"/>
  <c r="V597" i="64"/>
  <c r="U597" i="64"/>
  <c r="S597" i="64"/>
  <c r="H215" i="3" s="1"/>
  <c r="R597" i="64"/>
  <c r="N597" i="64"/>
  <c r="M597" i="64"/>
  <c r="I597" i="64"/>
  <c r="H597" i="64"/>
  <c r="BW596" i="64"/>
  <c r="BX596" i="64" s="1"/>
  <c r="BJ596" i="64"/>
  <c r="BK596" i="64" s="1"/>
  <c r="AU596" i="64"/>
  <c r="AJ596" i="64"/>
  <c r="AK596" i="64" s="1"/>
  <c r="W596" i="64"/>
  <c r="X596" i="64" s="1"/>
  <c r="J596" i="64"/>
  <c r="K596" i="64" s="1"/>
  <c r="BW595" i="64"/>
  <c r="BX595" i="64" s="1"/>
  <c r="BJ595" i="64"/>
  <c r="BK595" i="64" s="1"/>
  <c r="AU595" i="64"/>
  <c r="AJ595" i="64"/>
  <c r="AK595" i="64" s="1"/>
  <c r="W595" i="64"/>
  <c r="X595" i="64" s="1"/>
  <c r="J595" i="64"/>
  <c r="K595" i="64" s="1"/>
  <c r="BW594" i="64"/>
  <c r="BX594" i="64" s="1"/>
  <c r="BJ594" i="64"/>
  <c r="BK594" i="64" s="1"/>
  <c r="AU594" i="64"/>
  <c r="AW594" i="64" s="1"/>
  <c r="AX594" i="64" s="1"/>
  <c r="AJ594" i="64"/>
  <c r="AK594" i="64" s="1"/>
  <c r="W594" i="64"/>
  <c r="X594" i="64" s="1"/>
  <c r="J594" i="64"/>
  <c r="K594" i="64" s="1"/>
  <c r="BW593" i="64"/>
  <c r="BX593" i="64" s="1"/>
  <c r="BJ593" i="64"/>
  <c r="BK593" i="64" s="1"/>
  <c r="AU593" i="64"/>
  <c r="AJ593" i="64"/>
  <c r="AK593" i="64" s="1"/>
  <c r="W593" i="64"/>
  <c r="X593" i="64" s="1"/>
  <c r="J593" i="64"/>
  <c r="K593" i="64" s="1"/>
  <c r="BW592" i="64"/>
  <c r="BX592" i="64" s="1"/>
  <c r="BJ592" i="64"/>
  <c r="BK592" i="64" s="1"/>
  <c r="AU592" i="64"/>
  <c r="AW592" i="64" s="1"/>
  <c r="AX592" i="64" s="1"/>
  <c r="AJ592" i="64"/>
  <c r="AK592" i="64" s="1"/>
  <c r="W592" i="64"/>
  <c r="X592" i="64" s="1"/>
  <c r="J592" i="64"/>
  <c r="K592" i="64" s="1"/>
  <c r="BW591" i="64"/>
  <c r="BX591" i="64" s="1"/>
  <c r="BJ591" i="64"/>
  <c r="BK591" i="64" s="1"/>
  <c r="AU591" i="64"/>
  <c r="AW591" i="64" s="1"/>
  <c r="AJ591" i="64"/>
  <c r="AK591" i="64" s="1"/>
  <c r="W591" i="64"/>
  <c r="X591" i="64" s="1"/>
  <c r="J591" i="64"/>
  <c r="K591" i="64" s="1"/>
  <c r="BX590" i="64"/>
  <c r="BW590" i="64"/>
  <c r="BK590" i="64"/>
  <c r="BJ590" i="64"/>
  <c r="AU590" i="64"/>
  <c r="AW590" i="64" s="1"/>
  <c r="AK590" i="64"/>
  <c r="AJ590" i="64"/>
  <c r="X590" i="64"/>
  <c r="W590" i="64"/>
  <c r="K590" i="64"/>
  <c r="J590" i="64"/>
  <c r="CF588" i="64"/>
  <c r="O213" i="3"/>
  <c r="BZ588" i="64"/>
  <c r="N213" i="3" s="1"/>
  <c r="BV588" i="64"/>
  <c r="BU588" i="64"/>
  <c r="BR588" i="64"/>
  <c r="L213" i="3" s="1"/>
  <c r="BN588" i="64"/>
  <c r="BM588" i="64"/>
  <c r="BI588" i="64"/>
  <c r="BH588" i="64"/>
  <c r="BF588" i="64"/>
  <c r="K213" i="3" s="1"/>
  <c r="BE588" i="64"/>
  <c r="BA588" i="64"/>
  <c r="AZ588" i="64"/>
  <c r="AV588" i="64"/>
  <c r="AS588" i="64"/>
  <c r="J213" i="3" s="1"/>
  <c r="AR588" i="64"/>
  <c r="AN588" i="64"/>
  <c r="AM588" i="64"/>
  <c r="AI588" i="64"/>
  <c r="AH588" i="64"/>
  <c r="AF588" i="64"/>
  <c r="I213" i="3" s="1"/>
  <c r="AE588" i="64"/>
  <c r="AA588" i="64"/>
  <c r="Z588" i="64"/>
  <c r="V588" i="64"/>
  <c r="U588" i="64"/>
  <c r="S588" i="64"/>
  <c r="H213" i="3" s="1"/>
  <c r="R588" i="64"/>
  <c r="P588" i="64"/>
  <c r="P597" i="64" s="1"/>
  <c r="P599" i="64" s="1"/>
  <c r="N588" i="64"/>
  <c r="M588" i="64"/>
  <c r="I588" i="64"/>
  <c r="H588" i="64"/>
  <c r="BW587" i="64"/>
  <c r="BX587" i="64" s="1"/>
  <c r="BJ587" i="64"/>
  <c r="BK587" i="64" s="1"/>
  <c r="AU587" i="64"/>
  <c r="AW587" i="64" s="1"/>
  <c r="AJ587" i="64"/>
  <c r="AK587" i="64" s="1"/>
  <c r="W587" i="64"/>
  <c r="X587" i="64" s="1"/>
  <c r="J587" i="64"/>
  <c r="K587" i="64" s="1"/>
  <c r="BW586" i="64"/>
  <c r="BX586" i="64" s="1"/>
  <c r="BJ586" i="64"/>
  <c r="BK586" i="64" s="1"/>
  <c r="AU586" i="64"/>
  <c r="AW586" i="64" s="1"/>
  <c r="AX586" i="64" s="1"/>
  <c r="AJ586" i="64"/>
  <c r="AK586" i="64" s="1"/>
  <c r="W586" i="64"/>
  <c r="X586" i="64" s="1"/>
  <c r="J586" i="64"/>
  <c r="K586" i="64" s="1"/>
  <c r="BW585" i="64"/>
  <c r="BX585" i="64" s="1"/>
  <c r="BJ585" i="64"/>
  <c r="AU585" i="64"/>
  <c r="AW585" i="64" s="1"/>
  <c r="AJ585" i="64"/>
  <c r="AK585" i="64" s="1"/>
  <c r="W585" i="64"/>
  <c r="J585" i="64"/>
  <c r="CF580" i="64"/>
  <c r="BZ580" i="64"/>
  <c r="BV580" i="64"/>
  <c r="BU580" i="64"/>
  <c r="BX580" i="64" s="1"/>
  <c r="BS580" i="64"/>
  <c r="BS582" i="64" s="1"/>
  <c r="BR580" i="64"/>
  <c r="Q22" i="4" s="1"/>
  <c r="BN580" i="64"/>
  <c r="BM580" i="64"/>
  <c r="BI580" i="64"/>
  <c r="BH580" i="64"/>
  <c r="BK580" i="64" s="1"/>
  <c r="BF580" i="64"/>
  <c r="K208" i="3" s="1"/>
  <c r="BE580" i="64"/>
  <c r="BA580" i="64"/>
  <c r="AZ580" i="64"/>
  <c r="AV580" i="64"/>
  <c r="AU580" i="64"/>
  <c r="AX580" i="64" s="1"/>
  <c r="AS580" i="64"/>
  <c r="M22" i="4" s="1"/>
  <c r="AR580" i="64"/>
  <c r="AN580" i="64"/>
  <c r="AM580" i="64"/>
  <c r="AI580" i="64"/>
  <c r="AH580" i="64"/>
  <c r="AK580" i="64" s="1"/>
  <c r="AF580" i="64"/>
  <c r="K22" i="4" s="1"/>
  <c r="AE580" i="64"/>
  <c r="AA580" i="64"/>
  <c r="Z580" i="64"/>
  <c r="P22" i="4" s="1"/>
  <c r="V580" i="64"/>
  <c r="U580" i="64"/>
  <c r="S580" i="64"/>
  <c r="R580" i="64"/>
  <c r="P580" i="64"/>
  <c r="N580" i="64"/>
  <c r="M580" i="64"/>
  <c r="I580" i="64"/>
  <c r="H580" i="64"/>
  <c r="BX579" i="64"/>
  <c r="BW579" i="64"/>
  <c r="BK579" i="64"/>
  <c r="BJ579" i="64"/>
  <c r="AX579" i="64"/>
  <c r="AW579" i="64"/>
  <c r="AK579" i="64"/>
  <c r="AJ579" i="64"/>
  <c r="X579" i="64"/>
  <c r="W579" i="64"/>
  <c r="K579" i="64"/>
  <c r="J579" i="64"/>
  <c r="BX578" i="64"/>
  <c r="BW578" i="64"/>
  <c r="BW580" i="64" s="1"/>
  <c r="S22" i="4" s="1"/>
  <c r="BK578" i="64"/>
  <c r="BJ578" i="64"/>
  <c r="BJ580" i="64" s="1"/>
  <c r="AX578" i="64"/>
  <c r="AW578" i="64"/>
  <c r="AW580" i="64" s="1"/>
  <c r="AK578" i="64"/>
  <c r="AJ578" i="64"/>
  <c r="AJ580" i="64" s="1"/>
  <c r="W578" i="64"/>
  <c r="J578" i="64"/>
  <c r="CF576" i="64"/>
  <c r="O206" i="3"/>
  <c r="BZ576" i="64"/>
  <c r="N206" i="3" s="1"/>
  <c r="BV576" i="64"/>
  <c r="BU576" i="64"/>
  <c r="BR576" i="64"/>
  <c r="BN576" i="64"/>
  <c r="BM576" i="64"/>
  <c r="BI576" i="64"/>
  <c r="BH576" i="64"/>
  <c r="BF576" i="64"/>
  <c r="BE576" i="64"/>
  <c r="BA576" i="64"/>
  <c r="AZ576" i="64"/>
  <c r="AV576" i="64"/>
  <c r="AS576" i="64"/>
  <c r="J206" i="3" s="1"/>
  <c r="AR576" i="64"/>
  <c r="AN576" i="64"/>
  <c r="AM576" i="64"/>
  <c r="AI576" i="64"/>
  <c r="AH576" i="64"/>
  <c r="AF576" i="64"/>
  <c r="I206" i="3" s="1"/>
  <c r="AE576" i="64"/>
  <c r="AA576" i="64"/>
  <c r="Z576" i="64"/>
  <c r="V576" i="64"/>
  <c r="U576" i="64"/>
  <c r="S576" i="64"/>
  <c r="H206" i="3" s="1"/>
  <c r="R576" i="64"/>
  <c r="P576" i="64"/>
  <c r="N576" i="64"/>
  <c r="M576" i="64"/>
  <c r="I576" i="64"/>
  <c r="H576" i="64"/>
  <c r="BJ575" i="64"/>
  <c r="BK575" i="64" s="1"/>
  <c r="AU575" i="64"/>
  <c r="AW575" i="64" s="1"/>
  <c r="AX575" i="64" s="1"/>
  <c r="AJ575" i="64"/>
  <c r="AK575" i="64" s="1"/>
  <c r="W575" i="64"/>
  <c r="X575" i="64" s="1"/>
  <c r="J575" i="64"/>
  <c r="K575" i="64" s="1"/>
  <c r="BX573" i="64"/>
  <c r="BJ573" i="64"/>
  <c r="BK573" i="64" s="1"/>
  <c r="AU573" i="64"/>
  <c r="AJ573" i="64"/>
  <c r="AK573" i="64" s="1"/>
  <c r="W573" i="64"/>
  <c r="X573" i="64" s="1"/>
  <c r="J573" i="64"/>
  <c r="K573" i="64" s="1"/>
  <c r="BJ572" i="64"/>
  <c r="BK572" i="64" s="1"/>
  <c r="AU572" i="64"/>
  <c r="AW572" i="64" s="1"/>
  <c r="AJ572" i="64"/>
  <c r="AK572" i="64" s="1"/>
  <c r="W572" i="64"/>
  <c r="X572" i="64" s="1"/>
  <c r="J572" i="64"/>
  <c r="K572" i="64" s="1"/>
  <c r="BX571" i="64"/>
  <c r="BJ571" i="64"/>
  <c r="BK571" i="64" s="1"/>
  <c r="AU571" i="64"/>
  <c r="AW571" i="64" s="1"/>
  <c r="AJ571" i="64"/>
  <c r="AK571" i="64" s="1"/>
  <c r="W571" i="64"/>
  <c r="X571" i="64" s="1"/>
  <c r="J571" i="64"/>
  <c r="K571" i="64" s="1"/>
  <c r="BJ570" i="64"/>
  <c r="BK570" i="64" s="1"/>
  <c r="AU570" i="64"/>
  <c r="AW570" i="64" s="1"/>
  <c r="AJ570" i="64"/>
  <c r="AK570" i="64" s="1"/>
  <c r="W570" i="64"/>
  <c r="X570" i="64" s="1"/>
  <c r="J570" i="64"/>
  <c r="K570" i="64" s="1"/>
  <c r="BJ569" i="64"/>
  <c r="BK569" i="64" s="1"/>
  <c r="AU569" i="64"/>
  <c r="AJ569" i="64"/>
  <c r="AK569" i="64" s="1"/>
  <c r="W569" i="64"/>
  <c r="X569" i="64" s="1"/>
  <c r="J569" i="64"/>
  <c r="K569" i="64" s="1"/>
  <c r="BJ568" i="64"/>
  <c r="BK568" i="64" s="1"/>
  <c r="AU568" i="64"/>
  <c r="AW568" i="64" s="1"/>
  <c r="AX568" i="64" s="1"/>
  <c r="AJ568" i="64"/>
  <c r="AK568" i="64" s="1"/>
  <c r="W568" i="64"/>
  <c r="X568" i="64" s="1"/>
  <c r="J568" i="64"/>
  <c r="K568" i="64" s="1"/>
  <c r="BX567" i="64"/>
  <c r="BJ567" i="64"/>
  <c r="BK567" i="64" s="1"/>
  <c r="AU567" i="64"/>
  <c r="AW567" i="64" s="1"/>
  <c r="AX567" i="64" s="1"/>
  <c r="AJ567" i="64"/>
  <c r="AK567" i="64" s="1"/>
  <c r="W567" i="64"/>
  <c r="X567" i="64" s="1"/>
  <c r="J567" i="64"/>
  <c r="K567" i="64" s="1"/>
  <c r="BJ566" i="64"/>
  <c r="BK566" i="64" s="1"/>
  <c r="AU566" i="64"/>
  <c r="AJ566" i="64"/>
  <c r="AK566" i="64" s="1"/>
  <c r="W566" i="64"/>
  <c r="X566" i="64" s="1"/>
  <c r="J566" i="64"/>
  <c r="K566" i="64" s="1"/>
  <c r="BJ565" i="64"/>
  <c r="BK565" i="64" s="1"/>
  <c r="AU565" i="64"/>
  <c r="AW565" i="64" s="1"/>
  <c r="AJ565" i="64"/>
  <c r="AK565" i="64" s="1"/>
  <c r="W565" i="64"/>
  <c r="X565" i="64" s="1"/>
  <c r="J565" i="64"/>
  <c r="K565" i="64" s="1"/>
  <c r="BJ564" i="64"/>
  <c r="BK564" i="64" s="1"/>
  <c r="AU564" i="64"/>
  <c r="AJ564" i="64"/>
  <c r="AK564" i="64" s="1"/>
  <c r="W564" i="64"/>
  <c r="X564" i="64" s="1"/>
  <c r="J564" i="64"/>
  <c r="K564" i="64" s="1"/>
  <c r="BJ563" i="64"/>
  <c r="BK563" i="64" s="1"/>
  <c r="AU563" i="64"/>
  <c r="AJ563" i="64"/>
  <c r="AK563" i="64" s="1"/>
  <c r="W563" i="64"/>
  <c r="X563" i="64" s="1"/>
  <c r="J563" i="64"/>
  <c r="K563" i="64" s="1"/>
  <c r="BJ562" i="64"/>
  <c r="BK562" i="64" s="1"/>
  <c r="AU562" i="64"/>
  <c r="AW562" i="64" s="1"/>
  <c r="AX562" i="64" s="1"/>
  <c r="AJ562" i="64"/>
  <c r="AK562" i="64" s="1"/>
  <c r="W562" i="64"/>
  <c r="X562" i="64" s="1"/>
  <c r="J562" i="64"/>
  <c r="K562" i="64" s="1"/>
  <c r="BX561" i="64"/>
  <c r="BJ561" i="64"/>
  <c r="BK561" i="64" s="1"/>
  <c r="AU561" i="64"/>
  <c r="AJ561" i="64"/>
  <c r="AK561" i="64" s="1"/>
  <c r="W561" i="64"/>
  <c r="X561" i="64" s="1"/>
  <c r="J561" i="64"/>
  <c r="K561" i="64" s="1"/>
  <c r="BX560" i="64"/>
  <c r="BJ560" i="64"/>
  <c r="BK560" i="64" s="1"/>
  <c r="AU560" i="64"/>
  <c r="AJ560" i="64"/>
  <c r="AK560" i="64" s="1"/>
  <c r="W560" i="64"/>
  <c r="X560" i="64" s="1"/>
  <c r="J560" i="64"/>
  <c r="K560" i="64" s="1"/>
  <c r="BJ559" i="64"/>
  <c r="BK559" i="64" s="1"/>
  <c r="AU559" i="64"/>
  <c r="AJ559" i="64"/>
  <c r="AK559" i="64" s="1"/>
  <c r="W559" i="64"/>
  <c r="X559" i="64" s="1"/>
  <c r="J559" i="64"/>
  <c r="K559" i="64" s="1"/>
  <c r="BJ558" i="64"/>
  <c r="BK558" i="64" s="1"/>
  <c r="AU558" i="64"/>
  <c r="AW558" i="64" s="1"/>
  <c r="AX558" i="64" s="1"/>
  <c r="AJ558" i="64"/>
  <c r="AK558" i="64" s="1"/>
  <c r="W558" i="64"/>
  <c r="X558" i="64" s="1"/>
  <c r="J558" i="64"/>
  <c r="K558" i="64" s="1"/>
  <c r="BJ557" i="64"/>
  <c r="BK557" i="64" s="1"/>
  <c r="AU557" i="64"/>
  <c r="AJ557" i="64"/>
  <c r="AK557" i="64" s="1"/>
  <c r="W557" i="64"/>
  <c r="X557" i="64" s="1"/>
  <c r="J557" i="64"/>
  <c r="K557" i="64" s="1"/>
  <c r="BJ556" i="64"/>
  <c r="BK556" i="64" s="1"/>
  <c r="AU556" i="64"/>
  <c r="AW556" i="64" s="1"/>
  <c r="AJ556" i="64"/>
  <c r="AK556" i="64" s="1"/>
  <c r="W556" i="64"/>
  <c r="X556" i="64" s="1"/>
  <c r="J556" i="64"/>
  <c r="K556" i="64" s="1"/>
  <c r="BX555" i="64"/>
  <c r="BJ555" i="64"/>
  <c r="BK555" i="64" s="1"/>
  <c r="AU555" i="64"/>
  <c r="AW555" i="64" s="1"/>
  <c r="AJ555" i="64"/>
  <c r="AK555" i="64" s="1"/>
  <c r="W555" i="64"/>
  <c r="X555" i="64" s="1"/>
  <c r="J555" i="64"/>
  <c r="K555" i="64" s="1"/>
  <c r="BJ554" i="64"/>
  <c r="BK554" i="64" s="1"/>
  <c r="AU554" i="64"/>
  <c r="AW554" i="64" s="1"/>
  <c r="AJ554" i="64"/>
  <c r="AK554" i="64" s="1"/>
  <c r="W554" i="64"/>
  <c r="X554" i="64" s="1"/>
  <c r="J554" i="64"/>
  <c r="K554" i="64" s="1"/>
  <c r="BJ553" i="64"/>
  <c r="BK553" i="64" s="1"/>
  <c r="AU553" i="64"/>
  <c r="AW553" i="64" s="1"/>
  <c r="AX553" i="64" s="1"/>
  <c r="AJ553" i="64"/>
  <c r="AK553" i="64" s="1"/>
  <c r="W553" i="64"/>
  <c r="X553" i="64" s="1"/>
  <c r="J553" i="64"/>
  <c r="K553" i="64" s="1"/>
  <c r="BJ552" i="64"/>
  <c r="BK552" i="64" s="1"/>
  <c r="AU552" i="64"/>
  <c r="AW552" i="64" s="1"/>
  <c r="AX552" i="64" s="1"/>
  <c r="AJ552" i="64"/>
  <c r="AK552" i="64" s="1"/>
  <c r="W552" i="64"/>
  <c r="X552" i="64" s="1"/>
  <c r="J552" i="64"/>
  <c r="K552" i="64" s="1"/>
  <c r="BJ551" i="64"/>
  <c r="BK551" i="64" s="1"/>
  <c r="AU551" i="64"/>
  <c r="AJ551" i="64"/>
  <c r="AK551" i="64" s="1"/>
  <c r="W551" i="64"/>
  <c r="X551" i="64" s="1"/>
  <c r="J551" i="64"/>
  <c r="K551" i="64" s="1"/>
  <c r="BK550" i="64"/>
  <c r="BJ550" i="64"/>
  <c r="BJ549" i="64"/>
  <c r="BK549" i="64" s="1"/>
  <c r="AU549" i="64"/>
  <c r="AJ549" i="64"/>
  <c r="AK549" i="64" s="1"/>
  <c r="W549" i="64"/>
  <c r="X549" i="64" s="1"/>
  <c r="J549" i="64"/>
  <c r="K549" i="64" s="1"/>
  <c r="BJ548" i="64"/>
  <c r="BK548" i="64" s="1"/>
  <c r="AU548" i="64"/>
  <c r="AW548" i="64" s="1"/>
  <c r="AJ548" i="64"/>
  <c r="AK548" i="64" s="1"/>
  <c r="W548" i="64"/>
  <c r="X548" i="64" s="1"/>
  <c r="J548" i="64"/>
  <c r="K548" i="64" s="1"/>
  <c r="BK545" i="64"/>
  <c r="BJ545" i="64"/>
  <c r="AU545" i="64"/>
  <c r="AX545" i="64" s="1"/>
  <c r="AK545" i="64"/>
  <c r="AJ545" i="64"/>
  <c r="X545" i="64"/>
  <c r="W545" i="64"/>
  <c r="K545" i="64"/>
  <c r="J545" i="64"/>
  <c r="BX544" i="64"/>
  <c r="BJ544" i="64"/>
  <c r="BK544" i="64" s="1"/>
  <c r="AU544" i="64"/>
  <c r="AW544" i="64" s="1"/>
  <c r="AX544" i="64" s="1"/>
  <c r="AJ544" i="64"/>
  <c r="W544" i="64"/>
  <c r="X544" i="64" s="1"/>
  <c r="J544" i="64"/>
  <c r="K544" i="64" s="1"/>
  <c r="BJ543" i="64"/>
  <c r="BK543" i="64" s="1"/>
  <c r="AU543" i="64"/>
  <c r="AW543" i="64" s="1"/>
  <c r="AX543" i="64" s="1"/>
  <c r="AJ543" i="64"/>
  <c r="AK543" i="64" s="1"/>
  <c r="W543" i="64"/>
  <c r="X543" i="64" s="1"/>
  <c r="J543" i="64"/>
  <c r="K543" i="64" s="1"/>
  <c r="BW542" i="64"/>
  <c r="BX542" i="64" s="1"/>
  <c r="BJ542" i="64"/>
  <c r="BK542" i="64" s="1"/>
  <c r="AU542" i="64"/>
  <c r="AW542" i="64" s="1"/>
  <c r="AX542" i="64" s="1"/>
  <c r="AJ542" i="64"/>
  <c r="AK542" i="64" s="1"/>
  <c r="W542" i="64"/>
  <c r="X542" i="64" s="1"/>
  <c r="J542" i="64"/>
  <c r="K542" i="64" s="1"/>
  <c r="BW541" i="64"/>
  <c r="BX541" i="64" s="1"/>
  <c r="BJ541" i="64"/>
  <c r="BK541" i="64" s="1"/>
  <c r="AU541" i="64"/>
  <c r="AJ541" i="64"/>
  <c r="AK541" i="64" s="1"/>
  <c r="W541" i="64"/>
  <c r="X541" i="64" s="1"/>
  <c r="J541" i="64"/>
  <c r="K541" i="64" s="1"/>
  <c r="BW540" i="64"/>
  <c r="BX540" i="64" s="1"/>
  <c r="BJ540" i="64"/>
  <c r="BK540" i="64" s="1"/>
  <c r="AU540" i="64"/>
  <c r="AW540" i="64" s="1"/>
  <c r="AJ540" i="64"/>
  <c r="AK540" i="64" s="1"/>
  <c r="W540" i="64"/>
  <c r="X540" i="64" s="1"/>
  <c r="J540" i="64"/>
  <c r="K540" i="64" s="1"/>
  <c r="BW539" i="64"/>
  <c r="BJ539" i="64"/>
  <c r="BK539" i="64" s="1"/>
  <c r="AU539" i="64"/>
  <c r="AJ539" i="64"/>
  <c r="AK539" i="64" s="1"/>
  <c r="W539" i="64"/>
  <c r="X539" i="64" s="1"/>
  <c r="J539" i="64"/>
  <c r="K539" i="64" s="1"/>
  <c r="BW538" i="64"/>
  <c r="BX538" i="64" s="1"/>
  <c r="BJ538" i="64"/>
  <c r="BK538" i="64" s="1"/>
  <c r="AU538" i="64"/>
  <c r="AW538" i="64" s="1"/>
  <c r="AJ538" i="64"/>
  <c r="AK538" i="64" s="1"/>
  <c r="W538" i="64"/>
  <c r="X538" i="64" s="1"/>
  <c r="J538" i="64"/>
  <c r="K538" i="64" s="1"/>
  <c r="CF534" i="64"/>
  <c r="O203" i="3"/>
  <c r="BZ534" i="64"/>
  <c r="N203" i="3" s="1"/>
  <c r="BV534" i="64"/>
  <c r="BU534" i="64"/>
  <c r="BR534" i="64"/>
  <c r="L203" i="3" s="1"/>
  <c r="BN534" i="64"/>
  <c r="BM534" i="64"/>
  <c r="BI534" i="64"/>
  <c r="BH534" i="64"/>
  <c r="BF534" i="64"/>
  <c r="K203" i="3" s="1"/>
  <c r="BE534" i="64"/>
  <c r="BA534" i="64"/>
  <c r="AZ534" i="64"/>
  <c r="AV534" i="64"/>
  <c r="AS534" i="64"/>
  <c r="J203" i="3" s="1"/>
  <c r="AR534" i="64"/>
  <c r="AN534" i="64"/>
  <c r="AM534" i="64"/>
  <c r="AI534" i="64"/>
  <c r="AH534" i="64"/>
  <c r="AF534" i="64"/>
  <c r="I203" i="3" s="1"/>
  <c r="AE534" i="64"/>
  <c r="AA534" i="64"/>
  <c r="Z534" i="64"/>
  <c r="V534" i="64"/>
  <c r="U534" i="64"/>
  <c r="S534" i="64"/>
  <c r="H203" i="3" s="1"/>
  <c r="R534" i="64"/>
  <c r="P534" i="64"/>
  <c r="N534" i="64"/>
  <c r="M534" i="64"/>
  <c r="I534" i="64"/>
  <c r="H534" i="64"/>
  <c r="BW533" i="64"/>
  <c r="BX533" i="64" s="1"/>
  <c r="BJ533" i="64"/>
  <c r="BK533" i="64" s="1"/>
  <c r="AU533" i="64"/>
  <c r="AJ533" i="64"/>
  <c r="AK533" i="64" s="1"/>
  <c r="W533" i="64"/>
  <c r="X533" i="64" s="1"/>
  <c r="J533" i="64"/>
  <c r="K533" i="64" s="1"/>
  <c r="BW532" i="64"/>
  <c r="BX532" i="64" s="1"/>
  <c r="BJ532" i="64"/>
  <c r="BK532" i="64" s="1"/>
  <c r="AU532" i="64"/>
  <c r="AW532" i="64" s="1"/>
  <c r="AJ532" i="64"/>
  <c r="AK532" i="64" s="1"/>
  <c r="W532" i="64"/>
  <c r="X532" i="64" s="1"/>
  <c r="J532" i="64"/>
  <c r="K532" i="64" s="1"/>
  <c r="BW531" i="64"/>
  <c r="BX531" i="64" s="1"/>
  <c r="BJ531" i="64"/>
  <c r="BK531" i="64" s="1"/>
  <c r="AU531" i="64"/>
  <c r="AJ531" i="64"/>
  <c r="AK531" i="64" s="1"/>
  <c r="W531" i="64"/>
  <c r="J531" i="64"/>
  <c r="K531" i="64" s="1"/>
  <c r="BX530" i="64"/>
  <c r="BW530" i="64"/>
  <c r="BK530" i="64"/>
  <c r="BJ530" i="64"/>
  <c r="AU530" i="64"/>
  <c r="AX530" i="64" s="1"/>
  <c r="AK530" i="64"/>
  <c r="AJ530" i="64"/>
  <c r="X530" i="64"/>
  <c r="W530" i="64"/>
  <c r="K530" i="64"/>
  <c r="J530" i="64"/>
  <c r="BW529" i="64"/>
  <c r="BX529" i="64" s="1"/>
  <c r="BJ529" i="64"/>
  <c r="BK529" i="64" s="1"/>
  <c r="AU529" i="64"/>
  <c r="AW529" i="64" s="1"/>
  <c r="AX529" i="64" s="1"/>
  <c r="AJ529" i="64"/>
  <c r="AK529" i="64" s="1"/>
  <c r="W529" i="64"/>
  <c r="X529" i="64" s="1"/>
  <c r="J529" i="64"/>
  <c r="K529" i="64" s="1"/>
  <c r="BW528" i="64"/>
  <c r="BX528" i="64" s="1"/>
  <c r="BJ528" i="64"/>
  <c r="BK528" i="64" s="1"/>
  <c r="AU528" i="64"/>
  <c r="AW528" i="64" s="1"/>
  <c r="AJ528" i="64"/>
  <c r="AK528" i="64" s="1"/>
  <c r="W528" i="64"/>
  <c r="X528" i="64" s="1"/>
  <c r="J528" i="64"/>
  <c r="K528" i="64" s="1"/>
  <c r="BW527" i="64"/>
  <c r="BX527" i="64" s="1"/>
  <c r="BJ527" i="64"/>
  <c r="BK527" i="64" s="1"/>
  <c r="AU527" i="64"/>
  <c r="AJ527" i="64"/>
  <c r="AK527" i="64" s="1"/>
  <c r="W527" i="64"/>
  <c r="X527" i="64" s="1"/>
  <c r="J527" i="64"/>
  <c r="K527" i="64" s="1"/>
  <c r="BW526" i="64"/>
  <c r="BX526" i="64" s="1"/>
  <c r="BJ526" i="64"/>
  <c r="AU526" i="64"/>
  <c r="AW526" i="64" s="1"/>
  <c r="AJ526" i="64"/>
  <c r="AK526" i="64" s="1"/>
  <c r="W526" i="64"/>
  <c r="X526" i="64" s="1"/>
  <c r="J526" i="64"/>
  <c r="K526" i="64" s="1"/>
  <c r="CF524" i="64"/>
  <c r="BZ524" i="64"/>
  <c r="N202" i="3" s="1"/>
  <c r="BV524" i="64"/>
  <c r="BU524" i="64"/>
  <c r="BR524" i="64"/>
  <c r="L202" i="3" s="1"/>
  <c r="BN524" i="64"/>
  <c r="BM524" i="64"/>
  <c r="BI524" i="64"/>
  <c r="BH524" i="64"/>
  <c r="BF524" i="64"/>
  <c r="K202" i="3" s="1"/>
  <c r="BE524" i="64"/>
  <c r="BA524" i="64"/>
  <c r="AZ524" i="64"/>
  <c r="AV524" i="64"/>
  <c r="AS524" i="64"/>
  <c r="J202" i="3" s="1"/>
  <c r="AR524" i="64"/>
  <c r="AN524" i="64"/>
  <c r="AM524" i="64"/>
  <c r="AI524" i="64"/>
  <c r="AF524" i="64"/>
  <c r="I202" i="3" s="1"/>
  <c r="AE524" i="64"/>
  <c r="AA524" i="64"/>
  <c r="V524" i="64"/>
  <c r="U524" i="64"/>
  <c r="S524" i="64"/>
  <c r="H202" i="3" s="1"/>
  <c r="R524" i="64"/>
  <c r="P524" i="64"/>
  <c r="N524" i="64"/>
  <c r="M524" i="64"/>
  <c r="I524" i="64"/>
  <c r="H524" i="64"/>
  <c r="BW523" i="64"/>
  <c r="BX523" i="64" s="1"/>
  <c r="BJ523" i="64"/>
  <c r="BK523" i="64" s="1"/>
  <c r="AU523" i="64"/>
  <c r="AW523" i="64" s="1"/>
  <c r="AJ523" i="64"/>
  <c r="AK523" i="64" s="1"/>
  <c r="W523" i="64"/>
  <c r="J523" i="64"/>
  <c r="K523" i="64" s="1"/>
  <c r="BW522" i="64"/>
  <c r="BW524" i="64" s="1"/>
  <c r="M202" i="3" s="1"/>
  <c r="BJ522" i="64"/>
  <c r="BK522" i="64" s="1"/>
  <c r="AU522" i="64"/>
  <c r="AJ522" i="64"/>
  <c r="W522" i="64"/>
  <c r="Z522" i="64" s="1"/>
  <c r="J522" i="64"/>
  <c r="K522" i="64" s="1"/>
  <c r="CF517" i="64"/>
  <c r="O197" i="3"/>
  <c r="BZ517" i="64"/>
  <c r="BV517" i="64"/>
  <c r="BU517" i="64"/>
  <c r="BR517" i="64"/>
  <c r="L197" i="3" s="1"/>
  <c r="BN517" i="64"/>
  <c r="BM517" i="64"/>
  <c r="BI517" i="64"/>
  <c r="BH517" i="64"/>
  <c r="BF517" i="64"/>
  <c r="K197" i="3" s="1"/>
  <c r="BE517" i="64"/>
  <c r="BA517" i="64"/>
  <c r="AZ517" i="64"/>
  <c r="AV517" i="64"/>
  <c r="AS517" i="64"/>
  <c r="J197" i="3" s="1"/>
  <c r="AR517" i="64"/>
  <c r="AN517" i="64"/>
  <c r="AM517" i="64"/>
  <c r="AI517" i="64"/>
  <c r="AF517" i="64"/>
  <c r="AE517" i="64"/>
  <c r="AA517" i="64"/>
  <c r="V517" i="64"/>
  <c r="U517" i="64"/>
  <c r="S517" i="64"/>
  <c r="H197" i="3" s="1"/>
  <c r="R517" i="64"/>
  <c r="P517" i="64"/>
  <c r="N517" i="64"/>
  <c r="M517" i="64"/>
  <c r="I517" i="64"/>
  <c r="H517" i="64"/>
  <c r="K517" i="64" s="1"/>
  <c r="BW516" i="64"/>
  <c r="BJ516" i="64"/>
  <c r="AU516" i="64"/>
  <c r="AJ516" i="64"/>
  <c r="W516" i="64"/>
  <c r="X516" i="64" s="1"/>
  <c r="K516" i="64"/>
  <c r="J516" i="64"/>
  <c r="J517" i="64" s="1"/>
  <c r="CF514" i="64"/>
  <c r="O194" i="3"/>
  <c r="O195" i="3" s="1"/>
  <c r="BZ514" i="64"/>
  <c r="N194" i="3" s="1"/>
  <c r="BV514" i="64"/>
  <c r="BU514" i="64"/>
  <c r="BR514" i="64"/>
  <c r="BN514" i="64"/>
  <c r="BM514" i="64"/>
  <c r="BI514" i="64"/>
  <c r="BH514" i="64"/>
  <c r="BF514" i="64"/>
  <c r="BE514" i="64"/>
  <c r="BA514" i="64"/>
  <c r="AZ514" i="64"/>
  <c r="AV514" i="64"/>
  <c r="AS514" i="64"/>
  <c r="AR514" i="64"/>
  <c r="AN514" i="64"/>
  <c r="AM514" i="64"/>
  <c r="AI514" i="64"/>
  <c r="AF514" i="64"/>
  <c r="I194" i="3" s="1"/>
  <c r="I195" i="3" s="1"/>
  <c r="AE514" i="64"/>
  <c r="AA514" i="64"/>
  <c r="V514" i="64"/>
  <c r="U514" i="64"/>
  <c r="S514" i="64"/>
  <c r="R514" i="64"/>
  <c r="P514" i="64"/>
  <c r="N514" i="64"/>
  <c r="M514" i="64"/>
  <c r="I514" i="64"/>
  <c r="H514" i="64"/>
  <c r="K514" i="64" s="1"/>
  <c r="BW513" i="64"/>
  <c r="BJ513" i="64"/>
  <c r="BK513" i="64" s="1"/>
  <c r="AU513" i="64"/>
  <c r="AJ513" i="64"/>
  <c r="W513" i="64"/>
  <c r="K513" i="64"/>
  <c r="J513" i="64"/>
  <c r="J514" i="64" s="1"/>
  <c r="CF504" i="64"/>
  <c r="CE937" i="64"/>
  <c r="BZ504" i="64"/>
  <c r="G11" i="61" s="1"/>
  <c r="BV504" i="64"/>
  <c r="BU504" i="64"/>
  <c r="BR504" i="64"/>
  <c r="BN504" i="64"/>
  <c r="BN937" i="64" s="1"/>
  <c r="BM504" i="64"/>
  <c r="BI504" i="64"/>
  <c r="BH504" i="64"/>
  <c r="BF504" i="64"/>
  <c r="K185" i="3" s="1"/>
  <c r="BE504" i="64"/>
  <c r="BE937" i="64" s="1"/>
  <c r="BA504" i="64"/>
  <c r="BA937" i="64" s="1"/>
  <c r="AZ504" i="64"/>
  <c r="AV504" i="64"/>
  <c r="AS504" i="64"/>
  <c r="J185" i="3" s="1"/>
  <c r="AR504" i="64"/>
  <c r="AR937" i="64" s="1"/>
  <c r="AN504" i="64"/>
  <c r="AM504" i="64"/>
  <c r="AF504" i="64"/>
  <c r="I185" i="3" s="1"/>
  <c r="AE504" i="64"/>
  <c r="AE937" i="64" s="1"/>
  <c r="AA504" i="64"/>
  <c r="Z504" i="64"/>
  <c r="V504" i="64"/>
  <c r="U504" i="64"/>
  <c r="S504" i="64"/>
  <c r="H185" i="3" s="1"/>
  <c r="R504" i="64"/>
  <c r="R937" i="64" s="1"/>
  <c r="P504" i="64"/>
  <c r="N504" i="64"/>
  <c r="M504" i="64"/>
  <c r="I504" i="64"/>
  <c r="H504" i="64"/>
  <c r="BW503" i="64"/>
  <c r="BJ503" i="64"/>
  <c r="BK503" i="64" s="1"/>
  <c r="AU503" i="64"/>
  <c r="AI503" i="64"/>
  <c r="AJ503" i="64" s="1"/>
  <c r="W503" i="64"/>
  <c r="J503" i="64"/>
  <c r="J504" i="64" s="1"/>
  <c r="CF501" i="64"/>
  <c r="CE936" i="64"/>
  <c r="BZ501" i="64"/>
  <c r="G10" i="61" s="1"/>
  <c r="BV501" i="64"/>
  <c r="BU501" i="64"/>
  <c r="BR501" i="64"/>
  <c r="L183" i="3" s="1"/>
  <c r="BN501" i="64"/>
  <c r="BN936" i="64" s="1"/>
  <c r="BI501" i="64"/>
  <c r="BH501" i="64"/>
  <c r="BF501" i="64"/>
  <c r="K183" i="3" s="1"/>
  <c r="BE501" i="64"/>
  <c r="BE936" i="64" s="1"/>
  <c r="BA501" i="64"/>
  <c r="BA936" i="64" s="1"/>
  <c r="AZ501" i="64"/>
  <c r="AV501" i="64"/>
  <c r="AS501" i="64"/>
  <c r="J183" i="3" s="1"/>
  <c r="AR501" i="64"/>
  <c r="AR936" i="64" s="1"/>
  <c r="AN501" i="64"/>
  <c r="AM501" i="64"/>
  <c r="AF501" i="64"/>
  <c r="I183" i="3" s="1"/>
  <c r="AE501" i="64"/>
  <c r="AE936" i="64" s="1"/>
  <c r="AA501" i="64"/>
  <c r="Z501" i="64"/>
  <c r="V501" i="64"/>
  <c r="U501" i="64"/>
  <c r="S501" i="64"/>
  <c r="H183" i="3" s="1"/>
  <c r="R501" i="64"/>
  <c r="R936" i="64" s="1"/>
  <c r="P501" i="64"/>
  <c r="N501" i="64"/>
  <c r="M501" i="64"/>
  <c r="I501" i="64"/>
  <c r="H501" i="64"/>
  <c r="BW500" i="64"/>
  <c r="BJ500" i="64"/>
  <c r="BK500" i="64" s="1"/>
  <c r="AU500" i="64"/>
  <c r="AW500" i="64" s="1"/>
  <c r="AI500" i="64"/>
  <c r="AJ500" i="64" s="1"/>
  <c r="AK500" i="64" s="1"/>
  <c r="W500" i="64"/>
  <c r="X500" i="64" s="1"/>
  <c r="J500" i="64"/>
  <c r="K500" i="64" s="1"/>
  <c r="BW499" i="64"/>
  <c r="BX499" i="64" s="1"/>
  <c r="BM499" i="64"/>
  <c r="BM501" i="64" s="1"/>
  <c r="BJ499" i="64"/>
  <c r="BK499" i="64" s="1"/>
  <c r="AU499" i="64"/>
  <c r="AW499" i="64" s="1"/>
  <c r="AI499" i="64"/>
  <c r="AJ499" i="64" s="1"/>
  <c r="AK499" i="64" s="1"/>
  <c r="W499" i="64"/>
  <c r="X499" i="64" s="1"/>
  <c r="J499" i="64"/>
  <c r="CF497" i="64"/>
  <c r="CE932" i="64"/>
  <c r="BZ497" i="64"/>
  <c r="BV497" i="64"/>
  <c r="BU497" i="64"/>
  <c r="BR497" i="64"/>
  <c r="C9" i="61" s="1"/>
  <c r="BN497" i="64"/>
  <c r="BM497" i="64"/>
  <c r="BI497" i="64"/>
  <c r="BH497" i="64"/>
  <c r="BF497" i="64"/>
  <c r="K181" i="3" s="1"/>
  <c r="BE497" i="64"/>
  <c r="BE932" i="64" s="1"/>
  <c r="BA497" i="64"/>
  <c r="AZ497" i="64"/>
  <c r="AV497" i="64"/>
  <c r="AS497" i="64"/>
  <c r="J181" i="3" s="1"/>
  <c r="AN497" i="64"/>
  <c r="AM497" i="64"/>
  <c r="AI497" i="64"/>
  <c r="AF497" i="64"/>
  <c r="I181" i="3" s="1"/>
  <c r="AE497" i="64"/>
  <c r="AE932" i="64" s="1"/>
  <c r="AA497" i="64"/>
  <c r="Z497" i="64"/>
  <c r="V497" i="64"/>
  <c r="U497" i="64"/>
  <c r="S497" i="64"/>
  <c r="H181" i="3" s="1"/>
  <c r="R497" i="64"/>
  <c r="P497" i="64"/>
  <c r="N497" i="64"/>
  <c r="M497" i="64"/>
  <c r="I497" i="64"/>
  <c r="H497" i="64"/>
  <c r="BW496" i="64"/>
  <c r="BJ496" i="64"/>
  <c r="BJ497" i="64" s="1"/>
  <c r="AR496" i="64"/>
  <c r="AU496" i="64" s="1"/>
  <c r="AJ496" i="64"/>
  <c r="AJ497" i="64" s="1"/>
  <c r="AK497" i="64" s="1"/>
  <c r="W496" i="64"/>
  <c r="J496" i="64"/>
  <c r="K496" i="64" s="1"/>
  <c r="CF487" i="64"/>
  <c r="O173" i="3"/>
  <c r="BZ487" i="64"/>
  <c r="N173" i="3" s="1"/>
  <c r="BV487" i="64"/>
  <c r="BR487" i="64"/>
  <c r="L173" i="3" s="1"/>
  <c r="BN487" i="64"/>
  <c r="BM487" i="64"/>
  <c r="BI487" i="64"/>
  <c r="BF487" i="64"/>
  <c r="K173" i="3" s="1"/>
  <c r="AZ487" i="64"/>
  <c r="AV487" i="64"/>
  <c r="AS487" i="64"/>
  <c r="J173" i="3" s="1"/>
  <c r="AR487" i="64"/>
  <c r="AN487" i="64"/>
  <c r="AM487" i="64"/>
  <c r="AI487" i="64"/>
  <c r="AH487" i="64"/>
  <c r="AF487" i="64"/>
  <c r="I173" i="3" s="1"/>
  <c r="AE487" i="64"/>
  <c r="AA487" i="64"/>
  <c r="Z487" i="64"/>
  <c r="V487" i="64"/>
  <c r="U487" i="64"/>
  <c r="S487" i="64"/>
  <c r="H173" i="3" s="1"/>
  <c r="R487" i="64"/>
  <c r="P487" i="64"/>
  <c r="N487" i="64"/>
  <c r="M487" i="64"/>
  <c r="I487" i="64"/>
  <c r="H487" i="64"/>
  <c r="BU486" i="64"/>
  <c r="BH486" i="64"/>
  <c r="BE486" i="64"/>
  <c r="BE487" i="64" s="1"/>
  <c r="BA486" i="64"/>
  <c r="BA487" i="64" s="1"/>
  <c r="AU486" i="64"/>
  <c r="AJ486" i="64"/>
  <c r="AK486" i="64" s="1"/>
  <c r="W486" i="64"/>
  <c r="X486" i="64" s="1"/>
  <c r="J486" i="64"/>
  <c r="K486" i="64" s="1"/>
  <c r="BW485" i="64"/>
  <c r="BX485" i="64" s="1"/>
  <c r="BJ485" i="64"/>
  <c r="BK485" i="64" s="1"/>
  <c r="AU485" i="64"/>
  <c r="AW485" i="64" s="1"/>
  <c r="AX485" i="64" s="1"/>
  <c r="AJ485" i="64"/>
  <c r="AK485" i="64" s="1"/>
  <c r="W485" i="64"/>
  <c r="X485" i="64" s="1"/>
  <c r="J485" i="64"/>
  <c r="K485" i="64" s="1"/>
  <c r="BW484" i="64"/>
  <c r="BX484" i="64" s="1"/>
  <c r="BJ484" i="64"/>
  <c r="BK484" i="64" s="1"/>
  <c r="AU484" i="64"/>
  <c r="AJ484" i="64"/>
  <c r="AK484" i="64" s="1"/>
  <c r="W484" i="64"/>
  <c r="X484" i="64" s="1"/>
  <c r="J484" i="64"/>
  <c r="K484" i="64" s="1"/>
  <c r="BW483" i="64"/>
  <c r="BX483" i="64" s="1"/>
  <c r="BJ483" i="64"/>
  <c r="AU483" i="64"/>
  <c r="AJ483" i="64"/>
  <c r="W483" i="64"/>
  <c r="X483" i="64" s="1"/>
  <c r="J483" i="64"/>
  <c r="K483" i="64" s="1"/>
  <c r="CF479" i="64"/>
  <c r="O170" i="3"/>
  <c r="N170" i="3"/>
  <c r="BV479" i="64"/>
  <c r="BU479" i="64"/>
  <c r="BR479" i="64"/>
  <c r="L170" i="3" s="1"/>
  <c r="BN479" i="64"/>
  <c r="BM479" i="64"/>
  <c r="BI479" i="64"/>
  <c r="BH479" i="64"/>
  <c r="BF479" i="64"/>
  <c r="K170" i="3" s="1"/>
  <c r="BE479" i="64"/>
  <c r="BA479" i="64"/>
  <c r="AZ479" i="64"/>
  <c r="AV479" i="64"/>
  <c r="AS479" i="64"/>
  <c r="J170" i="3" s="1"/>
  <c r="AR479" i="64"/>
  <c r="AN479" i="64"/>
  <c r="AM479" i="64"/>
  <c r="AI479" i="64"/>
  <c r="AH479" i="64"/>
  <c r="AF479" i="64"/>
  <c r="I170" i="3" s="1"/>
  <c r="AE479" i="64"/>
  <c r="AA479" i="64"/>
  <c r="Z479" i="64"/>
  <c r="V479" i="64"/>
  <c r="U479" i="64"/>
  <c r="S479" i="64"/>
  <c r="H170" i="3" s="1"/>
  <c r="R479" i="64"/>
  <c r="P479" i="64"/>
  <c r="N479" i="64"/>
  <c r="M479" i="64"/>
  <c r="I479" i="64"/>
  <c r="H479" i="64"/>
  <c r="BX478" i="64"/>
  <c r="BW478" i="64"/>
  <c r="BK478" i="64"/>
  <c r="BJ478" i="64"/>
  <c r="AU478" i="64"/>
  <c r="AW478" i="64" s="1"/>
  <c r="AK478" i="64"/>
  <c r="AJ478" i="64"/>
  <c r="X478" i="64"/>
  <c r="W478" i="64"/>
  <c r="K478" i="64"/>
  <c r="J478" i="64"/>
  <c r="BW477" i="64"/>
  <c r="BJ477" i="64"/>
  <c r="BK477" i="64" s="1"/>
  <c r="AU477" i="64"/>
  <c r="AJ477" i="64"/>
  <c r="W477" i="64"/>
  <c r="X477" i="64" s="1"/>
  <c r="J477" i="64"/>
  <c r="CF475" i="64"/>
  <c r="O169" i="3"/>
  <c r="N169" i="3"/>
  <c r="BV475" i="64"/>
  <c r="BU475" i="64"/>
  <c r="BR475" i="64"/>
  <c r="BN475" i="64"/>
  <c r="BM475" i="64"/>
  <c r="BI475" i="64"/>
  <c r="BH475" i="64"/>
  <c r="BF475" i="64"/>
  <c r="BE475" i="64"/>
  <c r="BA475" i="64"/>
  <c r="AZ475" i="64"/>
  <c r="AV475" i="64"/>
  <c r="AS475" i="64"/>
  <c r="AR475" i="64"/>
  <c r="AN475" i="64"/>
  <c r="AM475" i="64"/>
  <c r="AI475" i="64"/>
  <c r="AF475" i="64"/>
  <c r="I169" i="3" s="1"/>
  <c r="AE475" i="64"/>
  <c r="AA475" i="64"/>
  <c r="Z475" i="64"/>
  <c r="V475" i="64"/>
  <c r="U475" i="64"/>
  <c r="S475" i="64"/>
  <c r="H169" i="3" s="1"/>
  <c r="R475" i="64"/>
  <c r="P475" i="64"/>
  <c r="N475" i="64"/>
  <c r="M475" i="64"/>
  <c r="I475" i="64"/>
  <c r="H475" i="64"/>
  <c r="BW474" i="64"/>
  <c r="BW475" i="64" s="1"/>
  <c r="M169" i="3" s="1"/>
  <c r="BJ474" i="64"/>
  <c r="BJ475" i="64" s="1"/>
  <c r="AU474" i="64"/>
  <c r="AJ474" i="64"/>
  <c r="AJ475" i="64" s="1"/>
  <c r="W474" i="64"/>
  <c r="J474" i="64"/>
  <c r="CF469" i="64"/>
  <c r="O164" i="3"/>
  <c r="BZ469" i="64"/>
  <c r="N164" i="3" s="1"/>
  <c r="BV469" i="64"/>
  <c r="BU469" i="64"/>
  <c r="BR469" i="64"/>
  <c r="L164" i="3" s="1"/>
  <c r="BN469" i="64"/>
  <c r="BM469" i="64"/>
  <c r="BI469" i="64"/>
  <c r="BH469" i="64"/>
  <c r="BF469" i="64"/>
  <c r="K164" i="3" s="1"/>
  <c r="BE469" i="64"/>
  <c r="BA469" i="64"/>
  <c r="AZ469" i="64"/>
  <c r="AV469" i="64"/>
  <c r="AS469" i="64"/>
  <c r="J164" i="3" s="1"/>
  <c r="AR469" i="64"/>
  <c r="AN469" i="64"/>
  <c r="AM469" i="64"/>
  <c r="AI469" i="64"/>
  <c r="AF469" i="64"/>
  <c r="I164" i="3" s="1"/>
  <c r="AE469" i="64"/>
  <c r="AA469" i="64"/>
  <c r="Z469" i="64"/>
  <c r="V469" i="64"/>
  <c r="U469" i="64"/>
  <c r="S469" i="64"/>
  <c r="H164" i="3" s="1"/>
  <c r="R469" i="64"/>
  <c r="P469" i="64"/>
  <c r="N469" i="64"/>
  <c r="M469" i="64"/>
  <c r="I469" i="64"/>
  <c r="H469" i="64"/>
  <c r="BW468" i="64"/>
  <c r="BX468" i="64" s="1"/>
  <c r="BJ468" i="64"/>
  <c r="BK468" i="64" s="1"/>
  <c r="AU468" i="64"/>
  <c r="AW468" i="64" s="1"/>
  <c r="AX468" i="64" s="1"/>
  <c r="AJ468" i="64"/>
  <c r="AK468" i="64" s="1"/>
  <c r="W468" i="64"/>
  <c r="X468" i="64" s="1"/>
  <c r="J468" i="64"/>
  <c r="K468" i="64" s="1"/>
  <c r="BW467" i="64"/>
  <c r="BX467" i="64" s="1"/>
  <c r="BJ467" i="64"/>
  <c r="BK467" i="64" s="1"/>
  <c r="AU467" i="64"/>
  <c r="AJ467" i="64"/>
  <c r="AK467" i="64" s="1"/>
  <c r="W467" i="64"/>
  <c r="X467" i="64" s="1"/>
  <c r="J467" i="64"/>
  <c r="K467" i="64" s="1"/>
  <c r="BX466" i="64"/>
  <c r="BW466" i="64"/>
  <c r="BK466" i="64"/>
  <c r="BJ466" i="64"/>
  <c r="AU466" i="64"/>
  <c r="AW466" i="64" s="1"/>
  <c r="AK466" i="64"/>
  <c r="AJ466" i="64"/>
  <c r="X466" i="64"/>
  <c r="W466" i="64"/>
  <c r="K466" i="64"/>
  <c r="J466" i="64"/>
  <c r="CF464" i="64"/>
  <c r="BZ464" i="64"/>
  <c r="BV464" i="64"/>
  <c r="BU464" i="64"/>
  <c r="BR464" i="64"/>
  <c r="BN464" i="64"/>
  <c r="BM464" i="64"/>
  <c r="BI464" i="64"/>
  <c r="BH464" i="64"/>
  <c r="BF464" i="64"/>
  <c r="BE464" i="64"/>
  <c r="BA464" i="64"/>
  <c r="AZ464" i="64"/>
  <c r="AV464" i="64"/>
  <c r="AS464" i="64"/>
  <c r="AR464" i="64"/>
  <c r="AN464" i="64"/>
  <c r="AM464" i="64"/>
  <c r="AI464" i="64"/>
  <c r="AH464" i="64"/>
  <c r="AF464" i="64"/>
  <c r="AE464" i="64"/>
  <c r="AA464" i="64"/>
  <c r="Z464" i="64"/>
  <c r="V464" i="64"/>
  <c r="U464" i="64"/>
  <c r="S464" i="64"/>
  <c r="R464" i="64"/>
  <c r="P464" i="64"/>
  <c r="N464" i="64"/>
  <c r="M464" i="64"/>
  <c r="I464" i="64"/>
  <c r="H464" i="64"/>
  <c r="BW463" i="64"/>
  <c r="BW464" i="64" s="1"/>
  <c r="BJ463" i="64"/>
  <c r="BJ464" i="64" s="1"/>
  <c r="AU463" i="64"/>
  <c r="AJ463" i="64"/>
  <c r="AK463" i="64" s="1"/>
  <c r="W463" i="64"/>
  <c r="J463" i="64"/>
  <c r="CF458" i="64"/>
  <c r="O156" i="3"/>
  <c r="BZ458" i="64"/>
  <c r="N156" i="3" s="1"/>
  <c r="BV458" i="64"/>
  <c r="BU458" i="64"/>
  <c r="BR458" i="64"/>
  <c r="L156" i="3" s="1"/>
  <c r="BN458" i="64"/>
  <c r="BM458" i="64"/>
  <c r="BI458" i="64"/>
  <c r="BH458" i="64"/>
  <c r="BF458" i="64"/>
  <c r="K156" i="3" s="1"/>
  <c r="BE458" i="64"/>
  <c r="BA458" i="64"/>
  <c r="AZ458" i="64"/>
  <c r="AV458" i="64"/>
  <c r="AS458" i="64"/>
  <c r="J156" i="3" s="1"/>
  <c r="AR458" i="64"/>
  <c r="AN458" i="64"/>
  <c r="AM458" i="64"/>
  <c r="AI458" i="64"/>
  <c r="AF458" i="64"/>
  <c r="I156" i="3" s="1"/>
  <c r="AE458" i="64"/>
  <c r="AA458" i="64"/>
  <c r="Z458" i="64"/>
  <c r="V458" i="64"/>
  <c r="U458" i="64"/>
  <c r="S458" i="64"/>
  <c r="H156" i="3" s="1"/>
  <c r="R458" i="64"/>
  <c r="P458" i="64"/>
  <c r="N458" i="64"/>
  <c r="M458" i="64"/>
  <c r="I458" i="64"/>
  <c r="H458" i="64"/>
  <c r="BW457" i="64"/>
  <c r="BW458" i="64" s="1"/>
  <c r="BJ457" i="64"/>
  <c r="BJ458" i="64" s="1"/>
  <c r="AU457" i="64"/>
  <c r="AJ457" i="64"/>
  <c r="W457" i="64"/>
  <c r="W458" i="64" s="1"/>
  <c r="J457" i="64"/>
  <c r="J458" i="64" s="1"/>
  <c r="CF455" i="64"/>
  <c r="O153" i="3"/>
  <c r="O154" i="3" s="1"/>
  <c r="BZ455" i="64"/>
  <c r="N153" i="3" s="1"/>
  <c r="BV455" i="64"/>
  <c r="BU455" i="64"/>
  <c r="BR455" i="64"/>
  <c r="L153" i="3" s="1"/>
  <c r="L154" i="3" s="1"/>
  <c r="BN455" i="64"/>
  <c r="BM455" i="64"/>
  <c r="BI455" i="64"/>
  <c r="BH455" i="64"/>
  <c r="BF455" i="64"/>
  <c r="BE455" i="64"/>
  <c r="BA455" i="64"/>
  <c r="AZ455" i="64"/>
  <c r="AV455" i="64"/>
  <c r="AS455" i="64"/>
  <c r="J153" i="3" s="1"/>
  <c r="J154" i="3" s="1"/>
  <c r="AR455" i="64"/>
  <c r="AN455" i="64"/>
  <c r="AM455" i="64"/>
  <c r="AI455" i="64"/>
  <c r="AF455" i="64"/>
  <c r="I153" i="3" s="1"/>
  <c r="I154" i="3" s="1"/>
  <c r="AE455" i="64"/>
  <c r="AA455" i="64"/>
  <c r="Z455" i="64"/>
  <c r="V455" i="64"/>
  <c r="U455" i="64"/>
  <c r="S455" i="64"/>
  <c r="H153" i="3" s="1"/>
  <c r="R455" i="64"/>
  <c r="P455" i="64"/>
  <c r="N455" i="64"/>
  <c r="M455" i="64"/>
  <c r="I455" i="64"/>
  <c r="H455" i="64"/>
  <c r="BW454" i="64"/>
  <c r="BX454" i="64" s="1"/>
  <c r="BJ454" i="64"/>
  <c r="BJ455" i="64" s="1"/>
  <c r="AU454" i="64"/>
  <c r="AW454" i="64" s="1"/>
  <c r="AW455" i="64" s="1"/>
  <c r="AJ454" i="64"/>
  <c r="AK454" i="64" s="1"/>
  <c r="W454" i="64"/>
  <c r="W455" i="64" s="1"/>
  <c r="J454" i="64"/>
  <c r="CF449" i="64"/>
  <c r="CF451" i="64" s="1"/>
  <c r="BZ449" i="64"/>
  <c r="BZ451" i="64" s="1"/>
  <c r="BV449" i="64"/>
  <c r="BV451" i="64" s="1"/>
  <c r="BU449" i="64"/>
  <c r="BU451" i="64" s="1"/>
  <c r="BR449" i="64"/>
  <c r="BN449" i="64"/>
  <c r="BN451" i="64" s="1"/>
  <c r="BM449" i="64"/>
  <c r="BM451" i="64" s="1"/>
  <c r="BI449" i="64"/>
  <c r="BI451" i="64" s="1"/>
  <c r="BH449" i="64"/>
  <c r="BF449" i="64"/>
  <c r="BE449" i="64"/>
  <c r="BE451" i="64" s="1"/>
  <c r="BA449" i="64"/>
  <c r="BA451" i="64" s="1"/>
  <c r="AZ449" i="64"/>
  <c r="AZ451" i="64" s="1"/>
  <c r="AV449" i="64"/>
  <c r="AV451" i="64" s="1"/>
  <c r="AS449" i="64"/>
  <c r="AR449" i="64"/>
  <c r="AR451" i="64" s="1"/>
  <c r="AN449" i="64"/>
  <c r="AN451" i="64" s="1"/>
  <c r="AM449" i="64"/>
  <c r="AM451" i="64" s="1"/>
  <c r="AI449" i="64"/>
  <c r="AI451" i="64" s="1"/>
  <c r="AF449" i="64"/>
  <c r="AF451" i="64" s="1"/>
  <c r="AE449" i="64"/>
  <c r="AE451" i="64" s="1"/>
  <c r="AA449" i="64"/>
  <c r="AA451" i="64" s="1"/>
  <c r="Z449" i="64"/>
  <c r="Z451" i="64" s="1"/>
  <c r="V449" i="64"/>
  <c r="V451" i="64" s="1"/>
  <c r="U449" i="64"/>
  <c r="S449" i="64"/>
  <c r="S451" i="64" s="1"/>
  <c r="R449" i="64"/>
  <c r="R451" i="64" s="1"/>
  <c r="P449" i="64"/>
  <c r="P451" i="64" s="1"/>
  <c r="N449" i="64"/>
  <c r="N451" i="64" s="1"/>
  <c r="M449" i="64"/>
  <c r="M451" i="64" s="1"/>
  <c r="I449" i="64"/>
  <c r="I451" i="64" s="1"/>
  <c r="H449" i="64"/>
  <c r="H451" i="64" s="1"/>
  <c r="BW448" i="64"/>
  <c r="BW449" i="64" s="1"/>
  <c r="BJ448" i="64"/>
  <c r="BJ449" i="64" s="1"/>
  <c r="BJ451" i="64" s="1"/>
  <c r="AU448" i="64"/>
  <c r="AJ448" i="64"/>
  <c r="W448" i="64"/>
  <c r="X448" i="64" s="1"/>
  <c r="J448" i="64"/>
  <c r="CF443" i="64"/>
  <c r="O142" i="3"/>
  <c r="BZ443" i="64"/>
  <c r="N142" i="3" s="1"/>
  <c r="BV443" i="64"/>
  <c r="BU443" i="64"/>
  <c r="BS443" i="64"/>
  <c r="BS445" i="64" s="1"/>
  <c r="BS491" i="64" s="1"/>
  <c r="BR443" i="64"/>
  <c r="L142" i="3" s="1"/>
  <c r="BN443" i="64"/>
  <c r="BM443" i="64"/>
  <c r="BI443" i="64"/>
  <c r="BF443" i="64"/>
  <c r="K142" i="3" s="1"/>
  <c r="AZ443" i="64"/>
  <c r="AV443" i="64"/>
  <c r="AS443" i="64"/>
  <c r="J142" i="3" s="1"/>
  <c r="AR443" i="64"/>
  <c r="AN443" i="64"/>
  <c r="AM443" i="64"/>
  <c r="AI443" i="64"/>
  <c r="AH443" i="64"/>
  <c r="AF443" i="64"/>
  <c r="I142" i="3" s="1"/>
  <c r="AE443" i="64"/>
  <c r="AA443" i="64"/>
  <c r="Z443" i="64"/>
  <c r="V443" i="64"/>
  <c r="U443" i="64"/>
  <c r="S443" i="64"/>
  <c r="H142" i="3" s="1"/>
  <c r="R443" i="64"/>
  <c r="P443" i="64"/>
  <c r="N443" i="64"/>
  <c r="M443" i="64"/>
  <c r="I443" i="64"/>
  <c r="H443" i="64"/>
  <c r="BW442" i="64"/>
  <c r="BX442" i="64" s="1"/>
  <c r="BJ442" i="64"/>
  <c r="BK442" i="64" s="1"/>
  <c r="AU442" i="64"/>
  <c r="AW442" i="64" s="1"/>
  <c r="AJ442" i="64"/>
  <c r="AK442" i="64" s="1"/>
  <c r="W442" i="64"/>
  <c r="X442" i="64" s="1"/>
  <c r="J442" i="64"/>
  <c r="K442" i="64" s="1"/>
  <c r="BW441" i="64"/>
  <c r="BX441" i="64" s="1"/>
  <c r="BJ441" i="64"/>
  <c r="BK441" i="64" s="1"/>
  <c r="AU441" i="64"/>
  <c r="AJ441" i="64"/>
  <c r="AK441" i="64" s="1"/>
  <c r="W441" i="64"/>
  <c r="X441" i="64" s="1"/>
  <c r="J441" i="64"/>
  <c r="K441" i="64" s="1"/>
  <c r="BW440" i="64"/>
  <c r="BX440" i="64" s="1"/>
  <c r="BH440" i="64"/>
  <c r="BJ440" i="64" s="1"/>
  <c r="BE440" i="64"/>
  <c r="BA440" i="64"/>
  <c r="AU440" i="64"/>
  <c r="AJ440" i="64"/>
  <c r="AK440" i="64" s="1"/>
  <c r="W440" i="64"/>
  <c r="X440" i="64" s="1"/>
  <c r="J440" i="64"/>
  <c r="K440" i="64" s="1"/>
  <c r="BX439" i="64"/>
  <c r="BW439" i="64"/>
  <c r="BK439" i="64"/>
  <c r="BJ439" i="64"/>
  <c r="AU439" i="64"/>
  <c r="AW439" i="64" s="1"/>
  <c r="AJ439" i="64"/>
  <c r="AK439" i="64" s="1"/>
  <c r="W439" i="64"/>
  <c r="X439" i="64" s="1"/>
  <c r="J439" i="64"/>
  <c r="K439" i="64" s="1"/>
  <c r="BW438" i="64"/>
  <c r="BX438" i="64" s="1"/>
  <c r="BJ438" i="64"/>
  <c r="BK438" i="64" s="1"/>
  <c r="AU438" i="64"/>
  <c r="AJ438" i="64"/>
  <c r="AK438" i="64" s="1"/>
  <c r="W438" i="64"/>
  <c r="X438" i="64" s="1"/>
  <c r="J438" i="64"/>
  <c r="K438" i="64" s="1"/>
  <c r="BW437" i="64"/>
  <c r="BX437" i="64" s="1"/>
  <c r="BJ437" i="64"/>
  <c r="BK437" i="64" s="1"/>
  <c r="AU437" i="64"/>
  <c r="AJ437" i="64"/>
  <c r="AK437" i="64" s="1"/>
  <c r="W437" i="64"/>
  <c r="X437" i="64" s="1"/>
  <c r="J437" i="64"/>
  <c r="K437" i="64" s="1"/>
  <c r="BW436" i="64"/>
  <c r="BX436" i="64" s="1"/>
  <c r="BH436" i="64"/>
  <c r="BJ436" i="64" s="1"/>
  <c r="BE436" i="64"/>
  <c r="BA436" i="64"/>
  <c r="AU436" i="64"/>
  <c r="AW436" i="64" s="1"/>
  <c r="AJ436" i="64"/>
  <c r="AK436" i="64" s="1"/>
  <c r="W436" i="64"/>
  <c r="X436" i="64" s="1"/>
  <c r="J436" i="64"/>
  <c r="K436" i="64" s="1"/>
  <c r="BW434" i="64"/>
  <c r="BX434" i="64" s="1"/>
  <c r="BJ434" i="64"/>
  <c r="BK434" i="64" s="1"/>
  <c r="AU434" i="64"/>
  <c r="AW434" i="64" s="1"/>
  <c r="AX434" i="64" s="1"/>
  <c r="AK434" i="64"/>
  <c r="AJ434" i="64"/>
  <c r="CF430" i="64"/>
  <c r="O139" i="3"/>
  <c r="BZ430" i="64"/>
  <c r="N139" i="3" s="1"/>
  <c r="BV430" i="64"/>
  <c r="BU430" i="64"/>
  <c r="BR430" i="64"/>
  <c r="L139" i="3" s="1"/>
  <c r="BN430" i="64"/>
  <c r="BM430" i="64"/>
  <c r="BI430" i="64"/>
  <c r="BH430" i="64"/>
  <c r="BF430" i="64"/>
  <c r="K139" i="3" s="1"/>
  <c r="BE430" i="64"/>
  <c r="BA430" i="64"/>
  <c r="AZ430" i="64"/>
  <c r="AV430" i="64"/>
  <c r="AS430" i="64"/>
  <c r="J139" i="3" s="1"/>
  <c r="AR430" i="64"/>
  <c r="AN430" i="64"/>
  <c r="AM430" i="64"/>
  <c r="AI430" i="64"/>
  <c r="AH430" i="64"/>
  <c r="AF430" i="64"/>
  <c r="I139" i="3" s="1"/>
  <c r="AE430" i="64"/>
  <c r="AA430" i="64"/>
  <c r="Z430" i="64"/>
  <c r="V430" i="64"/>
  <c r="U430" i="64"/>
  <c r="S430" i="64"/>
  <c r="H139" i="3" s="1"/>
  <c r="R430" i="64"/>
  <c r="P430" i="64"/>
  <c r="N430" i="64"/>
  <c r="M430" i="64"/>
  <c r="I430" i="64"/>
  <c r="H430" i="64"/>
  <c r="BX429" i="64"/>
  <c r="BW429" i="64"/>
  <c r="BK429" i="64"/>
  <c r="BJ429" i="64"/>
  <c r="AU429" i="64"/>
  <c r="AX429" i="64" s="1"/>
  <c r="AJ429" i="64"/>
  <c r="AK429" i="64" s="1"/>
  <c r="W429" i="64"/>
  <c r="X429" i="64" s="1"/>
  <c r="J429" i="64"/>
  <c r="K429" i="64" s="1"/>
  <c r="BW428" i="64"/>
  <c r="BX428" i="64" s="1"/>
  <c r="BJ428" i="64"/>
  <c r="BK428" i="64" s="1"/>
  <c r="AU428" i="64"/>
  <c r="AJ428" i="64"/>
  <c r="AK428" i="64" s="1"/>
  <c r="W428" i="64"/>
  <c r="X428" i="64" s="1"/>
  <c r="J428" i="64"/>
  <c r="K428" i="64" s="1"/>
  <c r="BW427" i="64"/>
  <c r="BX427" i="64" s="1"/>
  <c r="BJ427" i="64"/>
  <c r="BK427" i="64" s="1"/>
  <c r="AU427" i="64"/>
  <c r="AJ427" i="64"/>
  <c r="AK427" i="64" s="1"/>
  <c r="W427" i="64"/>
  <c r="X427" i="64" s="1"/>
  <c r="J427" i="64"/>
  <c r="CF425" i="64"/>
  <c r="O138" i="3"/>
  <c r="BZ425" i="64"/>
  <c r="N138" i="3" s="1"/>
  <c r="BV425" i="64"/>
  <c r="BU425" i="64"/>
  <c r="BR425" i="64"/>
  <c r="L138" i="3" s="1"/>
  <c r="BN425" i="64"/>
  <c r="BM425" i="64"/>
  <c r="BI425" i="64"/>
  <c r="BH425" i="64"/>
  <c r="BF425" i="64"/>
  <c r="K138" i="3" s="1"/>
  <c r="BE425" i="64"/>
  <c r="BA425" i="64"/>
  <c r="AZ425" i="64"/>
  <c r="AV425" i="64"/>
  <c r="AS425" i="64"/>
  <c r="J138" i="3" s="1"/>
  <c r="AR425" i="64"/>
  <c r="AN425" i="64"/>
  <c r="AM425" i="64"/>
  <c r="AI425" i="64"/>
  <c r="AH425" i="64"/>
  <c r="AF425" i="64"/>
  <c r="I138" i="3" s="1"/>
  <c r="AE425" i="64"/>
  <c r="AA425" i="64"/>
  <c r="Z425" i="64"/>
  <c r="V425" i="64"/>
  <c r="U425" i="64"/>
  <c r="S425" i="64"/>
  <c r="H138" i="3" s="1"/>
  <c r="R425" i="64"/>
  <c r="P425" i="64"/>
  <c r="N425" i="64"/>
  <c r="M425" i="64"/>
  <c r="I425" i="64"/>
  <c r="H425" i="64"/>
  <c r="BW424" i="64"/>
  <c r="BX424" i="64" s="1"/>
  <c r="BJ424" i="64"/>
  <c r="BK424" i="64" s="1"/>
  <c r="AU424" i="64"/>
  <c r="AW424" i="64" s="1"/>
  <c r="AJ424" i="64"/>
  <c r="AK424" i="64" s="1"/>
  <c r="W424" i="64"/>
  <c r="X424" i="64" s="1"/>
  <c r="J424" i="64"/>
  <c r="K424" i="64" s="1"/>
  <c r="BW423" i="64"/>
  <c r="BX423" i="64" s="1"/>
  <c r="BJ423" i="64"/>
  <c r="BK423" i="64" s="1"/>
  <c r="AU423" i="64"/>
  <c r="AW423" i="64" s="1"/>
  <c r="AJ423" i="64"/>
  <c r="AK423" i="64" s="1"/>
  <c r="W423" i="64"/>
  <c r="X423" i="64" s="1"/>
  <c r="J423" i="64"/>
  <c r="K423" i="64" s="1"/>
  <c r="BX422" i="64"/>
  <c r="BW422" i="64"/>
  <c r="BJ422" i="64"/>
  <c r="BK422" i="64" s="1"/>
  <c r="AU422" i="64"/>
  <c r="AJ422" i="64"/>
  <c r="AK422" i="64" s="1"/>
  <c r="W422" i="64"/>
  <c r="X422" i="64" s="1"/>
  <c r="J422" i="64"/>
  <c r="K422" i="64" s="1"/>
  <c r="BW421" i="64"/>
  <c r="BX421" i="64" s="1"/>
  <c r="BJ421" i="64"/>
  <c r="BK421" i="64" s="1"/>
  <c r="AU421" i="64"/>
  <c r="AW421" i="64" s="1"/>
  <c r="AJ421" i="64"/>
  <c r="AK421" i="64" s="1"/>
  <c r="W421" i="64"/>
  <c r="X421" i="64" s="1"/>
  <c r="J421" i="64"/>
  <c r="K421" i="64" s="1"/>
  <c r="BW420" i="64"/>
  <c r="BX420" i="64" s="1"/>
  <c r="BJ420" i="64"/>
  <c r="BK420" i="64" s="1"/>
  <c r="AU420" i="64"/>
  <c r="AW420" i="64" s="1"/>
  <c r="AJ420" i="64"/>
  <c r="AK420" i="64" s="1"/>
  <c r="W420" i="64"/>
  <c r="X420" i="64" s="1"/>
  <c r="J420" i="64"/>
  <c r="K420" i="64" s="1"/>
  <c r="BW419" i="64"/>
  <c r="BX419" i="64" s="1"/>
  <c r="BJ419" i="64"/>
  <c r="AU419" i="64"/>
  <c r="AJ419" i="64"/>
  <c r="W419" i="64"/>
  <c r="X419" i="64" s="1"/>
  <c r="J419" i="64"/>
  <c r="CF414" i="64"/>
  <c r="O133" i="3"/>
  <c r="BZ414" i="64"/>
  <c r="N133" i="3" s="1"/>
  <c r="BV414" i="64"/>
  <c r="BU414" i="64"/>
  <c r="BR414" i="64"/>
  <c r="L133" i="3" s="1"/>
  <c r="BN414" i="64"/>
  <c r="BM414" i="64"/>
  <c r="BI414" i="64"/>
  <c r="BF414" i="64"/>
  <c r="K133" i="3" s="1"/>
  <c r="AZ414" i="64"/>
  <c r="AV414" i="64"/>
  <c r="AS414" i="64"/>
  <c r="J133" i="3" s="1"/>
  <c r="AI414" i="64"/>
  <c r="AH414" i="64"/>
  <c r="AF414" i="64"/>
  <c r="I133" i="3" s="1"/>
  <c r="Z414" i="64"/>
  <c r="V414" i="64"/>
  <c r="U414" i="64"/>
  <c r="S414" i="64"/>
  <c r="H133" i="3" s="1"/>
  <c r="R414" i="64"/>
  <c r="P414" i="64"/>
  <c r="N414" i="64"/>
  <c r="M414" i="64"/>
  <c r="I414" i="64"/>
  <c r="H414" i="64"/>
  <c r="BW413" i="64"/>
  <c r="BJ413" i="64"/>
  <c r="AU413" i="64"/>
  <c r="AW413" i="64" s="1"/>
  <c r="AK413" i="64"/>
  <c r="AJ413" i="64"/>
  <c r="BW412" i="64"/>
  <c r="BJ412" i="64"/>
  <c r="AU412" i="64"/>
  <c r="AW412" i="64" s="1"/>
  <c r="BW411" i="64"/>
  <c r="BX411" i="64" s="1"/>
  <c r="BJ411" i="64"/>
  <c r="BK411" i="64" s="1"/>
  <c r="AU411" i="64"/>
  <c r="AJ411" i="64"/>
  <c r="AK411" i="64" s="1"/>
  <c r="W411" i="64"/>
  <c r="X411" i="64" s="1"/>
  <c r="J411" i="64"/>
  <c r="K411" i="64" s="1"/>
  <c r="BW410" i="64"/>
  <c r="BX410" i="64" s="1"/>
  <c r="BJ410" i="64"/>
  <c r="BK410" i="64" s="1"/>
  <c r="AU410" i="64"/>
  <c r="AW410" i="64" s="1"/>
  <c r="AX410" i="64" s="1"/>
  <c r="AJ410" i="64"/>
  <c r="AK410" i="64" s="1"/>
  <c r="W410" i="64"/>
  <c r="X410" i="64" s="1"/>
  <c r="J410" i="64"/>
  <c r="K410" i="64" s="1"/>
  <c r="BW409" i="64"/>
  <c r="BJ409" i="64"/>
  <c r="AU409" i="64"/>
  <c r="AW409" i="64" s="1"/>
  <c r="BW408" i="64"/>
  <c r="BX408" i="64" s="1"/>
  <c r="BJ408" i="64"/>
  <c r="BK408" i="64" s="1"/>
  <c r="AU408" i="64"/>
  <c r="AW408" i="64" s="1"/>
  <c r="AJ408" i="64"/>
  <c r="AK408" i="64" s="1"/>
  <c r="AE408" i="64"/>
  <c r="AA408" i="64"/>
  <c r="W408" i="64"/>
  <c r="X408" i="64" s="1"/>
  <c r="J408" i="64"/>
  <c r="K408" i="64" s="1"/>
  <c r="BW407" i="64"/>
  <c r="BX407" i="64" s="1"/>
  <c r="BJ407" i="64"/>
  <c r="BK407" i="64" s="1"/>
  <c r="AU407" i="64"/>
  <c r="AW407" i="64" s="1"/>
  <c r="AJ407" i="64"/>
  <c r="AK407" i="64" s="1"/>
  <c r="W407" i="64"/>
  <c r="X407" i="64" s="1"/>
  <c r="J407" i="64"/>
  <c r="K407" i="64" s="1"/>
  <c r="BX406" i="64"/>
  <c r="BW406" i="64"/>
  <c r="BK406" i="64"/>
  <c r="BJ406" i="64"/>
  <c r="AU406" i="64"/>
  <c r="AX406" i="64" s="1"/>
  <c r="AK406" i="64"/>
  <c r="AJ406" i="64"/>
  <c r="W406" i="64"/>
  <c r="X406" i="64" s="1"/>
  <c r="J406" i="64"/>
  <c r="K406" i="64" s="1"/>
  <c r="BX405" i="64"/>
  <c r="BW405" i="64"/>
  <c r="BK405" i="64"/>
  <c r="BJ405" i="64"/>
  <c r="AU405" i="64"/>
  <c r="AJ405" i="64"/>
  <c r="AK405" i="64" s="1"/>
  <c r="W405" i="64"/>
  <c r="X405" i="64" s="1"/>
  <c r="J405" i="64"/>
  <c r="K405" i="64" s="1"/>
  <c r="BW404" i="64"/>
  <c r="BX404" i="64" s="1"/>
  <c r="BJ404" i="64"/>
  <c r="BK404" i="64" s="1"/>
  <c r="AU404" i="64"/>
  <c r="AX404" i="64" s="1"/>
  <c r="AK404" i="64"/>
  <c r="AJ404" i="64"/>
  <c r="X404" i="64"/>
  <c r="W404" i="64"/>
  <c r="K404" i="64"/>
  <c r="J404" i="64"/>
  <c r="BX403" i="64"/>
  <c r="BW403" i="64"/>
  <c r="BK403" i="64"/>
  <c r="BJ403" i="64"/>
  <c r="AU403" i="64"/>
  <c r="AW403" i="64" s="1"/>
  <c r="AX403" i="64" s="1"/>
  <c r="AJ403" i="64"/>
  <c r="AK403" i="64" s="1"/>
  <c r="W403" i="64"/>
  <c r="X403" i="64" s="1"/>
  <c r="J403" i="64"/>
  <c r="K403" i="64" s="1"/>
  <c r="BW402" i="64"/>
  <c r="BX402" i="64" s="1"/>
  <c r="BH402" i="64"/>
  <c r="BJ402" i="64" s="1"/>
  <c r="BE402" i="64"/>
  <c r="BA402" i="64"/>
  <c r="AU402" i="64"/>
  <c r="AJ402" i="64"/>
  <c r="AK402" i="64" s="1"/>
  <c r="AE402" i="64"/>
  <c r="AA402" i="64"/>
  <c r="W402" i="64"/>
  <c r="X402" i="64" s="1"/>
  <c r="J402" i="64"/>
  <c r="K402" i="64" s="1"/>
  <c r="BX401" i="64"/>
  <c r="BW401" i="64"/>
  <c r="BK401" i="64"/>
  <c r="BJ401" i="64"/>
  <c r="AU401" i="64"/>
  <c r="AW401" i="64" s="1"/>
  <c r="AJ401" i="64"/>
  <c r="AK401" i="64" s="1"/>
  <c r="W401" i="64"/>
  <c r="X401" i="64" s="1"/>
  <c r="J401" i="64"/>
  <c r="K401" i="64" s="1"/>
  <c r="BW400" i="64"/>
  <c r="BX400" i="64" s="1"/>
  <c r="BJ400" i="64"/>
  <c r="BK400" i="64" s="1"/>
  <c r="AU400" i="64"/>
  <c r="AW400" i="64" s="1"/>
  <c r="AJ400" i="64"/>
  <c r="AK400" i="64" s="1"/>
  <c r="W400" i="64"/>
  <c r="X400" i="64" s="1"/>
  <c r="J400" i="64"/>
  <c r="K400" i="64" s="1"/>
  <c r="BW399" i="64"/>
  <c r="BX399" i="64" s="1"/>
  <c r="BJ399" i="64"/>
  <c r="BK399" i="64" s="1"/>
  <c r="AU399" i="64"/>
  <c r="AW399" i="64" s="1"/>
  <c r="AX399" i="64" s="1"/>
  <c r="AJ399" i="64"/>
  <c r="AK399" i="64" s="1"/>
  <c r="W399" i="64"/>
  <c r="X399" i="64" s="1"/>
  <c r="J399" i="64"/>
  <c r="K399" i="64" s="1"/>
  <c r="BW398" i="64"/>
  <c r="BX398" i="64" s="1"/>
  <c r="BJ398" i="64"/>
  <c r="BK398" i="64" s="1"/>
  <c r="AU398" i="64"/>
  <c r="AW398" i="64" s="1"/>
  <c r="AJ398" i="64"/>
  <c r="AK398" i="64" s="1"/>
  <c r="W398" i="64"/>
  <c r="X398" i="64" s="1"/>
  <c r="J398" i="64"/>
  <c r="K398" i="64" s="1"/>
  <c r="BW397" i="64"/>
  <c r="BX397" i="64" s="1"/>
  <c r="BJ397" i="64"/>
  <c r="BK397" i="64" s="1"/>
  <c r="AU397" i="64"/>
  <c r="AW397" i="64" s="1"/>
  <c r="AX397" i="64" s="1"/>
  <c r="AJ397" i="64"/>
  <c r="AK397" i="64" s="1"/>
  <c r="W397" i="64"/>
  <c r="X397" i="64" s="1"/>
  <c r="J397" i="64"/>
  <c r="K397" i="64" s="1"/>
  <c r="BX396" i="64"/>
  <c r="BW396" i="64"/>
  <c r="BK396" i="64"/>
  <c r="BJ396" i="64"/>
  <c r="AU396" i="64"/>
  <c r="AW396" i="64" s="1"/>
  <c r="AJ396" i="64"/>
  <c r="AK396" i="64" s="1"/>
  <c r="W396" i="64"/>
  <c r="X396" i="64" s="1"/>
  <c r="J396" i="64"/>
  <c r="K396" i="64" s="1"/>
  <c r="BW395" i="64"/>
  <c r="BX395" i="64" s="1"/>
  <c r="BJ395" i="64"/>
  <c r="BK395" i="64" s="1"/>
  <c r="AU395" i="64"/>
  <c r="AW395" i="64" s="1"/>
  <c r="AJ395" i="64"/>
  <c r="AK395" i="64" s="1"/>
  <c r="W395" i="64"/>
  <c r="X395" i="64" s="1"/>
  <c r="J395" i="64"/>
  <c r="K395" i="64" s="1"/>
  <c r="BW394" i="64"/>
  <c r="BX394" i="64" s="1"/>
  <c r="BJ394" i="64"/>
  <c r="BK394" i="64" s="1"/>
  <c r="AU394" i="64"/>
  <c r="AW394" i="64" s="1"/>
  <c r="AJ394" i="64"/>
  <c r="AK394" i="64" s="1"/>
  <c r="W394" i="64"/>
  <c r="X394" i="64" s="1"/>
  <c r="J394" i="64"/>
  <c r="K394" i="64" s="1"/>
  <c r="BW393" i="64"/>
  <c r="BX393" i="64" s="1"/>
  <c r="BW392" i="64"/>
  <c r="BX392" i="64" s="1"/>
  <c r="BH392" i="64"/>
  <c r="BE392" i="64"/>
  <c r="BA392" i="64"/>
  <c r="AU392" i="64"/>
  <c r="AW392" i="64" s="1"/>
  <c r="AX392" i="64" s="1"/>
  <c r="AJ392" i="64"/>
  <c r="AK392" i="64" s="1"/>
  <c r="AE392" i="64"/>
  <c r="AA392" i="64"/>
  <c r="W392" i="64"/>
  <c r="X392" i="64" s="1"/>
  <c r="J392" i="64"/>
  <c r="K392" i="64" s="1"/>
  <c r="BW391" i="64"/>
  <c r="BX391" i="64" s="1"/>
  <c r="BJ391" i="64"/>
  <c r="BK391" i="64" s="1"/>
  <c r="AU391" i="64"/>
  <c r="AW391" i="64" s="1"/>
  <c r="AX391" i="64" s="1"/>
  <c r="AJ391" i="64"/>
  <c r="AK391" i="64" s="1"/>
  <c r="W391" i="64"/>
  <c r="X391" i="64" s="1"/>
  <c r="J391" i="64"/>
  <c r="K391" i="64" s="1"/>
  <c r="BW390" i="64"/>
  <c r="BJ390" i="64"/>
  <c r="AU390" i="64"/>
  <c r="AW390" i="64" s="1"/>
  <c r="BW389" i="64"/>
  <c r="BX389" i="64" s="1"/>
  <c r="BJ389" i="64"/>
  <c r="BK389" i="64" s="1"/>
  <c r="AU389" i="64"/>
  <c r="AW389" i="64" s="1"/>
  <c r="AX389" i="64" s="1"/>
  <c r="AJ389" i="64"/>
  <c r="AK389" i="64" s="1"/>
  <c r="W389" i="64"/>
  <c r="X389" i="64" s="1"/>
  <c r="J389" i="64"/>
  <c r="K389" i="64" s="1"/>
  <c r="BW388" i="64"/>
  <c r="BX388" i="64" s="1"/>
  <c r="BJ388" i="64"/>
  <c r="BK388" i="64" s="1"/>
  <c r="AU388" i="64"/>
  <c r="AJ388" i="64"/>
  <c r="AK388" i="64" s="1"/>
  <c r="W388" i="64"/>
  <c r="X388" i="64" s="1"/>
  <c r="J388" i="64"/>
  <c r="K388" i="64" s="1"/>
  <c r="BW387" i="64"/>
  <c r="BX387" i="64" s="1"/>
  <c r="BJ387" i="64"/>
  <c r="BK387" i="64" s="1"/>
  <c r="AU387" i="64"/>
  <c r="AW387" i="64" s="1"/>
  <c r="AX387" i="64" s="1"/>
  <c r="AJ387" i="64"/>
  <c r="AK387" i="64" s="1"/>
  <c r="W387" i="64"/>
  <c r="X387" i="64" s="1"/>
  <c r="J387" i="64"/>
  <c r="K387" i="64" s="1"/>
  <c r="BW386" i="64"/>
  <c r="BX386" i="64" s="1"/>
  <c r="BJ386" i="64"/>
  <c r="BK386" i="64" s="1"/>
  <c r="AU386" i="64"/>
  <c r="AW386" i="64" s="1"/>
  <c r="AX386" i="64" s="1"/>
  <c r="AJ386" i="64"/>
  <c r="AK386" i="64" s="1"/>
  <c r="W386" i="64"/>
  <c r="X386" i="64" s="1"/>
  <c r="J386" i="64"/>
  <c r="K386" i="64" s="1"/>
  <c r="BW385" i="64"/>
  <c r="BX385" i="64" s="1"/>
  <c r="BJ385" i="64"/>
  <c r="BK385" i="64" s="1"/>
  <c r="AR385" i="64"/>
  <c r="AU385" i="64" s="1"/>
  <c r="AW385" i="64" s="1"/>
  <c r="AN385" i="64"/>
  <c r="AM385" i="64"/>
  <c r="AJ385" i="64"/>
  <c r="AK385" i="64" s="1"/>
  <c r="W385" i="64"/>
  <c r="X385" i="64" s="1"/>
  <c r="J385" i="64"/>
  <c r="K385" i="64" s="1"/>
  <c r="BW384" i="64"/>
  <c r="BX384" i="64" s="1"/>
  <c r="BJ384" i="64"/>
  <c r="BK384" i="64" s="1"/>
  <c r="AU384" i="64"/>
  <c r="AW384" i="64" s="1"/>
  <c r="AJ384" i="64"/>
  <c r="AK384" i="64" s="1"/>
  <c r="W384" i="64"/>
  <c r="X384" i="64" s="1"/>
  <c r="J384" i="64"/>
  <c r="BW383" i="64"/>
  <c r="BX383" i="64" s="1"/>
  <c r="BJ383" i="64"/>
  <c r="BK383" i="64" s="1"/>
  <c r="AU383" i="64"/>
  <c r="AW383" i="64" s="1"/>
  <c r="AJ383" i="64"/>
  <c r="AK383" i="64" s="1"/>
  <c r="W383" i="64"/>
  <c r="X383" i="64" s="1"/>
  <c r="J383" i="64"/>
  <c r="K383" i="64" s="1"/>
  <c r="BW382" i="64"/>
  <c r="BX382" i="64" s="1"/>
  <c r="BJ382" i="64"/>
  <c r="BK382" i="64" s="1"/>
  <c r="AU382" i="64"/>
  <c r="AJ382" i="64"/>
  <c r="AK382" i="64" s="1"/>
  <c r="W382" i="64"/>
  <c r="X382" i="64" s="1"/>
  <c r="J382" i="64"/>
  <c r="K382" i="64" s="1"/>
  <c r="BW381" i="64"/>
  <c r="BX381" i="64" s="1"/>
  <c r="BJ381" i="64"/>
  <c r="BK381" i="64" s="1"/>
  <c r="AU381" i="64"/>
  <c r="AW381" i="64" s="1"/>
  <c r="AJ381" i="64"/>
  <c r="AK381" i="64" s="1"/>
  <c r="W381" i="64"/>
  <c r="X381" i="64" s="1"/>
  <c r="J381" i="64"/>
  <c r="K381" i="64" s="1"/>
  <c r="BW380" i="64"/>
  <c r="BX380" i="64" s="1"/>
  <c r="BJ380" i="64"/>
  <c r="BK380" i="64" s="1"/>
  <c r="AR380" i="64"/>
  <c r="AN380" i="64"/>
  <c r="AM380" i="64"/>
  <c r="AJ380" i="64"/>
  <c r="AK380" i="64" s="1"/>
  <c r="W380" i="64"/>
  <c r="X380" i="64" s="1"/>
  <c r="J380" i="64"/>
  <c r="K380" i="64" s="1"/>
  <c r="BW379" i="64"/>
  <c r="BX379" i="64" s="1"/>
  <c r="BH379" i="64"/>
  <c r="BE379" i="64"/>
  <c r="BA379" i="64"/>
  <c r="AU379" i="64"/>
  <c r="AW379" i="64" s="1"/>
  <c r="AJ379" i="64"/>
  <c r="AK379" i="64" s="1"/>
  <c r="W379" i="64"/>
  <c r="X379" i="64" s="1"/>
  <c r="J379" i="64"/>
  <c r="K379" i="64" s="1"/>
  <c r="BW378" i="64"/>
  <c r="BX378" i="64" s="1"/>
  <c r="BJ378" i="64"/>
  <c r="BK378" i="64" s="1"/>
  <c r="AU378" i="64"/>
  <c r="AJ378" i="64"/>
  <c r="AK378" i="64" s="1"/>
  <c r="W378" i="64"/>
  <c r="X378" i="64" s="1"/>
  <c r="J378" i="64"/>
  <c r="K378" i="64" s="1"/>
  <c r="BW377" i="64"/>
  <c r="BJ377" i="64"/>
  <c r="BK377" i="64" s="1"/>
  <c r="AU377" i="64"/>
  <c r="AW377" i="64" s="1"/>
  <c r="AJ377" i="64"/>
  <c r="AK377" i="64" s="1"/>
  <c r="W377" i="64"/>
  <c r="X377" i="64" s="1"/>
  <c r="J377" i="64"/>
  <c r="K377" i="64" s="1"/>
  <c r="CF373" i="64"/>
  <c r="O130" i="3"/>
  <c r="BZ373" i="64"/>
  <c r="N130" i="3" s="1"/>
  <c r="BV373" i="64"/>
  <c r="BM373" i="64"/>
  <c r="BI373" i="64"/>
  <c r="BF373" i="64"/>
  <c r="K130" i="3" s="1"/>
  <c r="AZ373" i="64"/>
  <c r="AS373" i="64"/>
  <c r="J130" i="3" s="1"/>
  <c r="AI373" i="64"/>
  <c r="AF373" i="64"/>
  <c r="I130" i="3" s="1"/>
  <c r="AE373" i="64"/>
  <c r="AA373" i="64"/>
  <c r="Z373" i="64"/>
  <c r="V373" i="64"/>
  <c r="S373" i="64"/>
  <c r="H130" i="3" s="1"/>
  <c r="P373" i="64"/>
  <c r="M373" i="64"/>
  <c r="I373" i="64"/>
  <c r="H373" i="64"/>
  <c r="BW372" i="64"/>
  <c r="BX372" i="64" s="1"/>
  <c r="BJ372" i="64"/>
  <c r="AV372" i="64"/>
  <c r="AV373" i="64" s="1"/>
  <c r="AU372" i="64"/>
  <c r="AJ372" i="64"/>
  <c r="W372" i="64"/>
  <c r="J372" i="64"/>
  <c r="BW371" i="64"/>
  <c r="BX371" i="64" s="1"/>
  <c r="BJ371" i="64"/>
  <c r="AU371" i="64"/>
  <c r="AW371" i="64" s="1"/>
  <c r="AJ371" i="64"/>
  <c r="BW370" i="64"/>
  <c r="BX370" i="64" s="1"/>
  <c r="BJ370" i="64"/>
  <c r="AU370" i="64"/>
  <c r="AW370" i="64" s="1"/>
  <c r="AJ370" i="64"/>
  <c r="BU369" i="64"/>
  <c r="BW369" i="64" s="1"/>
  <c r="BX369" i="64" s="1"/>
  <c r="BR369" i="64"/>
  <c r="BN369" i="64"/>
  <c r="BJ369" i="64"/>
  <c r="AU369" i="64"/>
  <c r="AW369" i="64" s="1"/>
  <c r="AJ369" i="64"/>
  <c r="W369" i="64"/>
  <c r="J369" i="64"/>
  <c r="BW368" i="64"/>
  <c r="BX368" i="64" s="1"/>
  <c r="BJ368" i="64"/>
  <c r="BK368" i="64" s="1"/>
  <c r="AU368" i="64"/>
  <c r="AW368" i="64" s="1"/>
  <c r="AJ368" i="64"/>
  <c r="AK368" i="64" s="1"/>
  <c r="W368" i="64"/>
  <c r="X368" i="64" s="1"/>
  <c r="J368" i="64"/>
  <c r="K368" i="64" s="1"/>
  <c r="BU367" i="64"/>
  <c r="BW367" i="64" s="1"/>
  <c r="BX367" i="64" s="1"/>
  <c r="BR367" i="64"/>
  <c r="BN367" i="64"/>
  <c r="BJ367" i="64"/>
  <c r="BK367" i="64" s="1"/>
  <c r="AU367" i="64"/>
  <c r="AW367" i="64" s="1"/>
  <c r="AJ367" i="64"/>
  <c r="AK367" i="64" s="1"/>
  <c r="W367" i="64"/>
  <c r="X367" i="64" s="1"/>
  <c r="J367" i="64"/>
  <c r="K367" i="64" s="1"/>
  <c r="BW366" i="64"/>
  <c r="BX366" i="64" s="1"/>
  <c r="BJ366" i="64"/>
  <c r="BK366" i="64" s="1"/>
  <c r="AR366" i="64"/>
  <c r="AU366" i="64" s="1"/>
  <c r="AN366" i="64"/>
  <c r="AM366" i="64"/>
  <c r="AJ366" i="64"/>
  <c r="AK366" i="64" s="1"/>
  <c r="W366" i="64"/>
  <c r="X366" i="64" s="1"/>
  <c r="J366" i="64"/>
  <c r="K366" i="64" s="1"/>
  <c r="BX365" i="64"/>
  <c r="BW365" i="64"/>
  <c r="BK365" i="64"/>
  <c r="BJ365" i="64"/>
  <c r="AU365" i="64"/>
  <c r="AJ365" i="64"/>
  <c r="AK365" i="64" s="1"/>
  <c r="BX364" i="64"/>
  <c r="BW364" i="64"/>
  <c r="BJ364" i="64"/>
  <c r="BK364" i="64" s="1"/>
  <c r="AR364" i="64"/>
  <c r="AN364" i="64"/>
  <c r="AM364" i="64"/>
  <c r="AJ364" i="64"/>
  <c r="AK364" i="64" s="1"/>
  <c r="W364" i="64"/>
  <c r="X364" i="64" s="1"/>
  <c r="J364" i="64"/>
  <c r="K364" i="64" s="1"/>
  <c r="BU363" i="64"/>
  <c r="BR363" i="64"/>
  <c r="BN363" i="64"/>
  <c r="BH363" i="64"/>
  <c r="BE363" i="64"/>
  <c r="BA363" i="64"/>
  <c r="AU363" i="64"/>
  <c r="AJ363" i="64"/>
  <c r="AK363" i="64" s="1"/>
  <c r="W363" i="64"/>
  <c r="X363" i="64" s="1"/>
  <c r="J363" i="64"/>
  <c r="K363" i="64" s="1"/>
  <c r="BW362" i="64"/>
  <c r="BX362" i="64" s="1"/>
  <c r="BH362" i="64"/>
  <c r="BJ362" i="64" s="1"/>
  <c r="BK362" i="64" s="1"/>
  <c r="BE362" i="64"/>
  <c r="BA362" i="64"/>
  <c r="AU362" i="64"/>
  <c r="AW362" i="64" s="1"/>
  <c r="AJ362" i="64"/>
  <c r="AK362" i="64" s="1"/>
  <c r="W362" i="64"/>
  <c r="X362" i="64" s="1"/>
  <c r="J362" i="64"/>
  <c r="K362" i="64" s="1"/>
  <c r="BW361" i="64"/>
  <c r="BX361" i="64" s="1"/>
  <c r="BJ361" i="64"/>
  <c r="AU361" i="64"/>
  <c r="AW361" i="64" s="1"/>
  <c r="AJ361" i="64"/>
  <c r="AK361" i="64" s="1"/>
  <c r="U361" i="64"/>
  <c r="R361" i="64"/>
  <c r="R373" i="64" s="1"/>
  <c r="N361" i="64"/>
  <c r="N373" i="64" s="1"/>
  <c r="J361" i="64"/>
  <c r="K361" i="64" s="1"/>
  <c r="CF359" i="64"/>
  <c r="O129" i="3"/>
  <c r="BZ359" i="64"/>
  <c r="N129" i="3" s="1"/>
  <c r="BV359" i="64"/>
  <c r="BU359" i="64"/>
  <c r="BR359" i="64"/>
  <c r="L129" i="3" s="1"/>
  <c r="BN359" i="64"/>
  <c r="BM359" i="64"/>
  <c r="BI359" i="64"/>
  <c r="BH359" i="64"/>
  <c r="BF359" i="64"/>
  <c r="K129" i="3" s="1"/>
  <c r="BE359" i="64"/>
  <c r="BA359" i="64"/>
  <c r="AZ359" i="64"/>
  <c r="AV359" i="64"/>
  <c r="AS359" i="64"/>
  <c r="AR359" i="64"/>
  <c r="AN359" i="64"/>
  <c r="AM359" i="64"/>
  <c r="AI359" i="64"/>
  <c r="AF359" i="64"/>
  <c r="I129" i="3" s="1"/>
  <c r="AE359" i="64"/>
  <c r="AA359" i="64"/>
  <c r="Z359" i="64"/>
  <c r="V359" i="64"/>
  <c r="U359" i="64"/>
  <c r="S359" i="64"/>
  <c r="H129" i="3" s="1"/>
  <c r="R359" i="64"/>
  <c r="P359" i="64"/>
  <c r="N359" i="64"/>
  <c r="M359" i="64"/>
  <c r="I359" i="64"/>
  <c r="H359" i="64"/>
  <c r="BX358" i="64"/>
  <c r="BW358" i="64"/>
  <c r="BK358" i="64"/>
  <c r="BJ358" i="64"/>
  <c r="AU358" i="64"/>
  <c r="AX358" i="64" s="1"/>
  <c r="AJ358" i="64"/>
  <c r="BW357" i="64"/>
  <c r="BJ357" i="64"/>
  <c r="AU357" i="64"/>
  <c r="AJ357" i="64"/>
  <c r="AK357" i="64" s="1"/>
  <c r="W357" i="64"/>
  <c r="J357" i="64"/>
  <c r="J359" i="64" s="1"/>
  <c r="CF352" i="64"/>
  <c r="O124" i="3"/>
  <c r="BZ352" i="64"/>
  <c r="N124" i="3" s="1"/>
  <c r="BV352" i="64"/>
  <c r="BM352" i="64"/>
  <c r="BI352" i="64"/>
  <c r="BF352" i="64"/>
  <c r="AZ352" i="64"/>
  <c r="AV352" i="64"/>
  <c r="AS352" i="64"/>
  <c r="AI352" i="64"/>
  <c r="AH352" i="64"/>
  <c r="AF352" i="64"/>
  <c r="I124" i="3" s="1"/>
  <c r="AE352" i="64"/>
  <c r="AA352" i="64"/>
  <c r="Z352" i="64"/>
  <c r="V352" i="64"/>
  <c r="U352" i="64"/>
  <c r="S352" i="64"/>
  <c r="H124" i="3" s="1"/>
  <c r="R352" i="64"/>
  <c r="P352" i="64"/>
  <c r="N352" i="64"/>
  <c r="M352" i="64"/>
  <c r="I352" i="64"/>
  <c r="H352" i="64"/>
  <c r="AU351" i="64"/>
  <c r="BU349" i="64"/>
  <c r="BW349" i="64" s="1"/>
  <c r="BR349" i="64"/>
  <c r="BN349" i="64"/>
  <c r="BJ349" i="64"/>
  <c r="BK349" i="64" s="1"/>
  <c r="AU349" i="64"/>
  <c r="AW349" i="64" s="1"/>
  <c r="AX349" i="64" s="1"/>
  <c r="AJ349" i="64"/>
  <c r="AK349" i="64" s="1"/>
  <c r="W349" i="64"/>
  <c r="X349" i="64" s="1"/>
  <c r="J349" i="64"/>
  <c r="K349" i="64" s="1"/>
  <c r="BW348" i="64"/>
  <c r="BX348" i="64" s="1"/>
  <c r="BJ348" i="64"/>
  <c r="BK348" i="64" s="1"/>
  <c r="AU348" i="64"/>
  <c r="AJ348" i="64"/>
  <c r="AK348" i="64" s="1"/>
  <c r="W348" i="64"/>
  <c r="X348" i="64" s="1"/>
  <c r="J348" i="64"/>
  <c r="K348" i="64" s="1"/>
  <c r="BW347" i="64"/>
  <c r="BX347" i="64" s="1"/>
  <c r="BJ347" i="64"/>
  <c r="BK347" i="64" s="1"/>
  <c r="AU347" i="64"/>
  <c r="AW347" i="64" s="1"/>
  <c r="AX347" i="64" s="1"/>
  <c r="AJ347" i="64"/>
  <c r="AK347" i="64" s="1"/>
  <c r="W347" i="64"/>
  <c r="X347" i="64" s="1"/>
  <c r="J347" i="64"/>
  <c r="K347" i="64" s="1"/>
  <c r="BW346" i="64"/>
  <c r="BX346" i="64" s="1"/>
  <c r="BJ346" i="64"/>
  <c r="BK346" i="64" s="1"/>
  <c r="AU346" i="64"/>
  <c r="AJ346" i="64"/>
  <c r="AK346" i="64" s="1"/>
  <c r="W346" i="64"/>
  <c r="X346" i="64" s="1"/>
  <c r="J346" i="64"/>
  <c r="K346" i="64" s="1"/>
  <c r="BW345" i="64"/>
  <c r="BX345" i="64" s="1"/>
  <c r="BJ345" i="64"/>
  <c r="BK345" i="64" s="1"/>
  <c r="AU345" i="64"/>
  <c r="AJ345" i="64"/>
  <c r="AK345" i="64" s="1"/>
  <c r="W345" i="64"/>
  <c r="X345" i="64" s="1"/>
  <c r="J345" i="64"/>
  <c r="K345" i="64" s="1"/>
  <c r="BW344" i="64"/>
  <c r="BX344" i="64" s="1"/>
  <c r="BJ344" i="64"/>
  <c r="BK344" i="64" s="1"/>
  <c r="AU344" i="64"/>
  <c r="AW344" i="64" s="1"/>
  <c r="AJ344" i="64"/>
  <c r="AK344" i="64" s="1"/>
  <c r="W344" i="64"/>
  <c r="X344" i="64" s="1"/>
  <c r="J344" i="64"/>
  <c r="K344" i="64" s="1"/>
  <c r="BW343" i="64"/>
  <c r="BX343" i="64" s="1"/>
  <c r="BJ343" i="64"/>
  <c r="BK343" i="64" s="1"/>
  <c r="AU343" i="64"/>
  <c r="AJ343" i="64"/>
  <c r="AK343" i="64" s="1"/>
  <c r="W343" i="64"/>
  <c r="X343" i="64" s="1"/>
  <c r="J343" i="64"/>
  <c r="K343" i="64" s="1"/>
  <c r="BU342" i="64"/>
  <c r="BR342" i="64"/>
  <c r="BN342" i="64"/>
  <c r="BJ342" i="64"/>
  <c r="BK342" i="64" s="1"/>
  <c r="AU342" i="64"/>
  <c r="AK342" i="64"/>
  <c r="AJ342" i="64"/>
  <c r="X342" i="64"/>
  <c r="W342" i="64"/>
  <c r="K342" i="64"/>
  <c r="J342" i="64"/>
  <c r="BX341" i="64"/>
  <c r="BW341" i="64"/>
  <c r="BJ341" i="64"/>
  <c r="BK341" i="64" s="1"/>
  <c r="AU341" i="64"/>
  <c r="AW341" i="64" s="1"/>
  <c r="AJ341" i="64"/>
  <c r="AK341" i="64" s="1"/>
  <c r="W341" i="64"/>
  <c r="X341" i="64" s="1"/>
  <c r="J341" i="64"/>
  <c r="K341" i="64" s="1"/>
  <c r="BW340" i="64"/>
  <c r="BX340" i="64" s="1"/>
  <c r="BJ340" i="64"/>
  <c r="BK340" i="64" s="1"/>
  <c r="AU340" i="64"/>
  <c r="AJ340" i="64"/>
  <c r="AK340" i="64" s="1"/>
  <c r="W340" i="64"/>
  <c r="X340" i="64" s="1"/>
  <c r="J340" i="64"/>
  <c r="K340" i="64" s="1"/>
  <c r="BX339" i="64"/>
  <c r="BW339" i="64"/>
  <c r="BJ339" i="64"/>
  <c r="BK339" i="64" s="1"/>
  <c r="AU339" i="64"/>
  <c r="AJ339" i="64"/>
  <c r="AK339" i="64" s="1"/>
  <c r="W339" i="64"/>
  <c r="X339" i="64" s="1"/>
  <c r="J339" i="64"/>
  <c r="K339" i="64" s="1"/>
  <c r="BW338" i="64"/>
  <c r="BX338" i="64" s="1"/>
  <c r="BJ338" i="64"/>
  <c r="BK338" i="64" s="1"/>
  <c r="AU338" i="64"/>
  <c r="AW338" i="64" s="1"/>
  <c r="AX338" i="64" s="1"/>
  <c r="AJ338" i="64"/>
  <c r="AK338" i="64" s="1"/>
  <c r="W338" i="64"/>
  <c r="X338" i="64" s="1"/>
  <c r="J338" i="64"/>
  <c r="K338" i="64" s="1"/>
  <c r="BW337" i="64"/>
  <c r="BX337" i="64" s="1"/>
  <c r="BJ337" i="64"/>
  <c r="BK337" i="64" s="1"/>
  <c r="AU337" i="64"/>
  <c r="AW337" i="64" s="1"/>
  <c r="AX337" i="64" s="1"/>
  <c r="AJ337" i="64"/>
  <c r="AK337" i="64" s="1"/>
  <c r="W337" i="64"/>
  <c r="X337" i="64" s="1"/>
  <c r="J337" i="64"/>
  <c r="K337" i="64" s="1"/>
  <c r="BX336" i="64"/>
  <c r="BW336" i="64"/>
  <c r="BJ336" i="64"/>
  <c r="BK336" i="64" s="1"/>
  <c r="AU336" i="64"/>
  <c r="AJ336" i="64"/>
  <c r="AK336" i="64" s="1"/>
  <c r="W336" i="64"/>
  <c r="X336" i="64" s="1"/>
  <c r="J336" i="64"/>
  <c r="K336" i="64" s="1"/>
  <c r="BW335" i="64"/>
  <c r="BX335" i="64" s="1"/>
  <c r="BJ335" i="64"/>
  <c r="BK335" i="64" s="1"/>
  <c r="AU335" i="64"/>
  <c r="AW335" i="64" s="1"/>
  <c r="AJ335" i="64"/>
  <c r="AK335" i="64" s="1"/>
  <c r="W335" i="64"/>
  <c r="X335" i="64" s="1"/>
  <c r="J335" i="64"/>
  <c r="K335" i="64" s="1"/>
  <c r="BX334" i="64"/>
  <c r="BW334" i="64"/>
  <c r="BJ334" i="64"/>
  <c r="BK334" i="64" s="1"/>
  <c r="AU334" i="64"/>
  <c r="AJ334" i="64"/>
  <c r="AK334" i="64" s="1"/>
  <c r="W334" i="64"/>
  <c r="X334" i="64" s="1"/>
  <c r="J334" i="64"/>
  <c r="K334" i="64" s="1"/>
  <c r="BX333" i="64"/>
  <c r="BW333" i="64"/>
  <c r="BK333" i="64"/>
  <c r="BJ333" i="64"/>
  <c r="AU333" i="64"/>
  <c r="AK333" i="64"/>
  <c r="AJ333" i="64"/>
  <c r="X333" i="64"/>
  <c r="W333" i="64"/>
  <c r="K333" i="64"/>
  <c r="J333" i="64"/>
  <c r="BW332" i="64"/>
  <c r="BX332" i="64" s="1"/>
  <c r="BJ332" i="64"/>
  <c r="BK332" i="64" s="1"/>
  <c r="AU332" i="64"/>
  <c r="AW332" i="64" s="1"/>
  <c r="AX332" i="64" s="1"/>
  <c r="AJ332" i="64"/>
  <c r="AK332" i="64" s="1"/>
  <c r="W332" i="64"/>
  <c r="X332" i="64" s="1"/>
  <c r="J332" i="64"/>
  <c r="K332" i="64" s="1"/>
  <c r="BW331" i="64"/>
  <c r="BX331" i="64" s="1"/>
  <c r="BK331" i="64"/>
  <c r="BJ331" i="64"/>
  <c r="AU331" i="64"/>
  <c r="AW331" i="64" s="1"/>
  <c r="AK331" i="64"/>
  <c r="AJ331" i="64"/>
  <c r="X331" i="64"/>
  <c r="W331" i="64"/>
  <c r="K331" i="64"/>
  <c r="J331" i="64"/>
  <c r="BW330" i="64"/>
  <c r="BX330" i="64" s="1"/>
  <c r="BJ330" i="64"/>
  <c r="BK330" i="64" s="1"/>
  <c r="AU330" i="64"/>
  <c r="AJ330" i="64"/>
  <c r="AK330" i="64" s="1"/>
  <c r="W330" i="64"/>
  <c r="X330" i="64" s="1"/>
  <c r="J330" i="64"/>
  <c r="K330" i="64" s="1"/>
  <c r="BW329" i="64"/>
  <c r="BX329" i="64" s="1"/>
  <c r="BJ329" i="64"/>
  <c r="BK329" i="64" s="1"/>
  <c r="AU329" i="64"/>
  <c r="AJ329" i="64"/>
  <c r="AK329" i="64" s="1"/>
  <c r="W329" i="64"/>
  <c r="X329" i="64" s="1"/>
  <c r="J329" i="64"/>
  <c r="K329" i="64" s="1"/>
  <c r="BW328" i="64"/>
  <c r="BX328" i="64" s="1"/>
  <c r="BJ328" i="64"/>
  <c r="BK328" i="64" s="1"/>
  <c r="AR328" i="64"/>
  <c r="AN328" i="64"/>
  <c r="AN352" i="64" s="1"/>
  <c r="AM328" i="64"/>
  <c r="AM352" i="64" s="1"/>
  <c r="AJ328" i="64"/>
  <c r="AK328" i="64" s="1"/>
  <c r="W328" i="64"/>
  <c r="X328" i="64" s="1"/>
  <c r="J328" i="64"/>
  <c r="K328" i="64" s="1"/>
  <c r="BW327" i="64"/>
  <c r="BX327" i="64" s="1"/>
  <c r="BJ327" i="64"/>
  <c r="BK327" i="64" s="1"/>
  <c r="AU327" i="64"/>
  <c r="AJ327" i="64"/>
  <c r="AK327" i="64" s="1"/>
  <c r="W327" i="64"/>
  <c r="X327" i="64" s="1"/>
  <c r="J327" i="64"/>
  <c r="K327" i="64" s="1"/>
  <c r="BJ326" i="64"/>
  <c r="BK326" i="64" s="1"/>
  <c r="AU326" i="64"/>
  <c r="AW326" i="64" s="1"/>
  <c r="AJ326" i="64"/>
  <c r="AK326" i="64" s="1"/>
  <c r="W326" i="64"/>
  <c r="X326" i="64" s="1"/>
  <c r="J326" i="64"/>
  <c r="K326" i="64" s="1"/>
  <c r="BW324" i="64"/>
  <c r="BX324" i="64" s="1"/>
  <c r="BK324" i="64"/>
  <c r="BJ324" i="64"/>
  <c r="AU324" i="64"/>
  <c r="AW324" i="64" s="1"/>
  <c r="AK324" i="64"/>
  <c r="AJ324" i="64"/>
  <c r="W324" i="64"/>
  <c r="X324" i="64" s="1"/>
  <c r="J324" i="64"/>
  <c r="K324" i="64" s="1"/>
  <c r="BX323" i="64"/>
  <c r="BW323" i="64"/>
  <c r="BJ323" i="64"/>
  <c r="BK323" i="64" s="1"/>
  <c r="AU323" i="64"/>
  <c r="AJ323" i="64"/>
  <c r="AK323" i="64" s="1"/>
  <c r="W323" i="64"/>
  <c r="X323" i="64" s="1"/>
  <c r="J323" i="64"/>
  <c r="K323" i="64" s="1"/>
  <c r="BX322" i="64"/>
  <c r="BW322" i="64"/>
  <c r="BJ322" i="64"/>
  <c r="BK322" i="64" s="1"/>
  <c r="AU322" i="64"/>
  <c r="AW322" i="64" s="1"/>
  <c r="AX322" i="64" s="1"/>
  <c r="AJ322" i="64"/>
  <c r="AK322" i="64" s="1"/>
  <c r="W322" i="64"/>
  <c r="X322" i="64" s="1"/>
  <c r="J322" i="64"/>
  <c r="K322" i="64" s="1"/>
  <c r="BX321" i="64"/>
  <c r="BW321" i="64"/>
  <c r="BJ321" i="64"/>
  <c r="BK321" i="64" s="1"/>
  <c r="AU321" i="64"/>
  <c r="AW321" i="64" s="1"/>
  <c r="AJ321" i="64"/>
  <c r="AK321" i="64" s="1"/>
  <c r="W321" i="64"/>
  <c r="X321" i="64" s="1"/>
  <c r="J321" i="64"/>
  <c r="K321" i="64" s="1"/>
  <c r="BW320" i="64"/>
  <c r="BX320" i="64" s="1"/>
  <c r="BJ320" i="64"/>
  <c r="BK320" i="64" s="1"/>
  <c r="AU320" i="64"/>
  <c r="AJ320" i="64"/>
  <c r="AK320" i="64" s="1"/>
  <c r="W320" i="64"/>
  <c r="X320" i="64" s="1"/>
  <c r="J320" i="64"/>
  <c r="K320" i="64" s="1"/>
  <c r="BX319" i="64"/>
  <c r="BW319" i="64"/>
  <c r="BJ319" i="64"/>
  <c r="BK319" i="64" s="1"/>
  <c r="AU319" i="64"/>
  <c r="AW319" i="64" s="1"/>
  <c r="AJ319" i="64"/>
  <c r="AK319" i="64" s="1"/>
  <c r="W319" i="64"/>
  <c r="X319" i="64" s="1"/>
  <c r="J319" i="64"/>
  <c r="K319" i="64" s="1"/>
  <c r="BW318" i="64"/>
  <c r="BX318" i="64" s="1"/>
  <c r="BH318" i="64"/>
  <c r="BE318" i="64"/>
  <c r="BE352" i="64" s="1"/>
  <c r="BA318" i="64"/>
  <c r="BA352" i="64" s="1"/>
  <c r="AU318" i="64"/>
  <c r="AW318" i="64" s="1"/>
  <c r="AX318" i="64" s="1"/>
  <c r="AJ318" i="64"/>
  <c r="AK318" i="64" s="1"/>
  <c r="W318" i="64"/>
  <c r="X318" i="64" s="1"/>
  <c r="J318" i="64"/>
  <c r="K318" i="64" s="1"/>
  <c r="BW317" i="64"/>
  <c r="BX317" i="64" s="1"/>
  <c r="BJ317" i="64"/>
  <c r="BK317" i="64" s="1"/>
  <c r="AU317" i="64"/>
  <c r="AJ317" i="64"/>
  <c r="AK317" i="64" s="1"/>
  <c r="W317" i="64"/>
  <c r="X317" i="64" s="1"/>
  <c r="J317" i="64"/>
  <c r="K317" i="64" s="1"/>
  <c r="BW316" i="64"/>
  <c r="BX316" i="64" s="1"/>
  <c r="BJ316" i="64"/>
  <c r="BK316" i="64" s="1"/>
  <c r="AU316" i="64"/>
  <c r="AW316" i="64" s="1"/>
  <c r="AJ316" i="64"/>
  <c r="W316" i="64"/>
  <c r="X316" i="64" s="1"/>
  <c r="J316" i="64"/>
  <c r="K316" i="64" s="1"/>
  <c r="BW315" i="64"/>
  <c r="BJ315" i="64"/>
  <c r="BK315" i="64" s="1"/>
  <c r="AU315" i="64"/>
  <c r="AJ315" i="64"/>
  <c r="AK315" i="64" s="1"/>
  <c r="W315" i="64"/>
  <c r="J315" i="64"/>
  <c r="CF311" i="64"/>
  <c r="O121" i="3"/>
  <c r="BZ311" i="64"/>
  <c r="N121" i="3" s="1"/>
  <c r="BV311" i="64"/>
  <c r="BM311" i="64"/>
  <c r="BI311" i="64"/>
  <c r="BF311" i="64"/>
  <c r="K121" i="3" s="1"/>
  <c r="AZ311" i="64"/>
  <c r="AV311" i="64"/>
  <c r="AS311" i="64"/>
  <c r="J121" i="3" s="1"/>
  <c r="AI311" i="64"/>
  <c r="AH311" i="64"/>
  <c r="AF311" i="64"/>
  <c r="I121" i="3" s="1"/>
  <c r="AE311" i="64"/>
  <c r="AA311" i="64"/>
  <c r="Z311" i="64"/>
  <c r="S311" i="64"/>
  <c r="H121" i="3" s="1"/>
  <c r="P311" i="64"/>
  <c r="M311" i="64"/>
  <c r="H311" i="64"/>
  <c r="BX310" i="64"/>
  <c r="BW310" i="64"/>
  <c r="BK310" i="64"/>
  <c r="BJ310" i="64"/>
  <c r="AU310" i="64"/>
  <c r="AX310" i="64" s="1"/>
  <c r="AK310" i="64"/>
  <c r="AJ310" i="64"/>
  <c r="BW309" i="64"/>
  <c r="BX309" i="64" s="1"/>
  <c r="BJ309" i="64"/>
  <c r="BK309" i="64" s="1"/>
  <c r="AU309" i="64"/>
  <c r="AJ309" i="64"/>
  <c r="AK309" i="64" s="1"/>
  <c r="BW308" i="64"/>
  <c r="BX308" i="64" s="1"/>
  <c r="BJ308" i="64"/>
  <c r="BK308" i="64" s="1"/>
  <c r="AU308" i="64"/>
  <c r="AW308" i="64" s="1"/>
  <c r="AK308" i="64"/>
  <c r="AJ308" i="64"/>
  <c r="BW307" i="64"/>
  <c r="BX307" i="64" s="1"/>
  <c r="BH307" i="64"/>
  <c r="BJ307" i="64" s="1"/>
  <c r="BK307" i="64" s="1"/>
  <c r="BE307" i="64"/>
  <c r="BA307" i="64"/>
  <c r="AU307" i="64"/>
  <c r="AW307" i="64" s="1"/>
  <c r="AJ307" i="64"/>
  <c r="AK307" i="64" s="1"/>
  <c r="W307" i="64"/>
  <c r="X307" i="64" s="1"/>
  <c r="J307" i="64"/>
  <c r="K307" i="64" s="1"/>
  <c r="BW306" i="64"/>
  <c r="BX306" i="64" s="1"/>
  <c r="BH306" i="64"/>
  <c r="BJ306" i="64" s="1"/>
  <c r="BE306" i="64"/>
  <c r="BA306" i="64"/>
  <c r="AR306" i="64"/>
  <c r="AU306" i="64" s="1"/>
  <c r="AN306" i="64"/>
  <c r="AM306" i="64"/>
  <c r="AJ306" i="64"/>
  <c r="AK306" i="64" s="1"/>
  <c r="V306" i="64"/>
  <c r="V311" i="64" s="1"/>
  <c r="J306" i="64"/>
  <c r="K306" i="64" s="1"/>
  <c r="BW305" i="64"/>
  <c r="BX305" i="64" s="1"/>
  <c r="BH305" i="64"/>
  <c r="BJ305" i="64" s="1"/>
  <c r="BK305" i="64" s="1"/>
  <c r="BE305" i="64"/>
  <c r="BA305" i="64"/>
  <c r="AU305" i="64"/>
  <c r="AW305" i="64" s="1"/>
  <c r="AJ305" i="64"/>
  <c r="AK305" i="64" s="1"/>
  <c r="W305" i="64"/>
  <c r="X305" i="64" s="1"/>
  <c r="J305" i="64"/>
  <c r="K305" i="64" s="1"/>
  <c r="BW304" i="64"/>
  <c r="BX304" i="64" s="1"/>
  <c r="BH304" i="64"/>
  <c r="BJ304" i="64" s="1"/>
  <c r="BE304" i="64"/>
  <c r="BA304" i="64"/>
  <c r="AU304" i="64"/>
  <c r="AW304" i="64" s="1"/>
  <c r="AJ304" i="64"/>
  <c r="AK304" i="64" s="1"/>
  <c r="W304" i="64"/>
  <c r="X304" i="64" s="1"/>
  <c r="J304" i="64"/>
  <c r="K304" i="64" s="1"/>
  <c r="BX303" i="64"/>
  <c r="BW303" i="64"/>
  <c r="BK303" i="64"/>
  <c r="BJ303" i="64"/>
  <c r="AU303" i="64"/>
  <c r="AK303" i="64"/>
  <c r="AJ303" i="64"/>
  <c r="W303" i="64"/>
  <c r="X303" i="64" s="1"/>
  <c r="J303" i="64"/>
  <c r="K303" i="64" s="1"/>
  <c r="BW302" i="64"/>
  <c r="BX302" i="64" s="1"/>
  <c r="BJ302" i="64"/>
  <c r="BK302" i="64" s="1"/>
  <c r="AU302" i="64"/>
  <c r="AJ302" i="64"/>
  <c r="AK302" i="64" s="1"/>
  <c r="W302" i="64"/>
  <c r="X302" i="64" s="1"/>
  <c r="J302" i="64"/>
  <c r="K302" i="64" s="1"/>
  <c r="BW301" i="64"/>
  <c r="BX301" i="64" s="1"/>
  <c r="BH301" i="64"/>
  <c r="BE301" i="64"/>
  <c r="BA301" i="64"/>
  <c r="AU301" i="64"/>
  <c r="AW301" i="64" s="1"/>
  <c r="AJ301" i="64"/>
  <c r="AK301" i="64" s="1"/>
  <c r="W301" i="64"/>
  <c r="X301" i="64" s="1"/>
  <c r="J301" i="64"/>
  <c r="K301" i="64" s="1"/>
  <c r="BX300" i="64"/>
  <c r="BW300" i="64"/>
  <c r="BK300" i="64"/>
  <c r="BJ300" i="64"/>
  <c r="AU300" i="64"/>
  <c r="AW300" i="64" s="1"/>
  <c r="AK300" i="64"/>
  <c r="AJ300" i="64"/>
  <c r="W300" i="64"/>
  <c r="X300" i="64" s="1"/>
  <c r="J300" i="64"/>
  <c r="K300" i="64" s="1"/>
  <c r="BX299" i="64"/>
  <c r="BW299" i="64"/>
  <c r="BK299" i="64"/>
  <c r="BJ299" i="64"/>
  <c r="AU299" i="64"/>
  <c r="AX299" i="64" s="1"/>
  <c r="AK299" i="64"/>
  <c r="AJ299" i="64"/>
  <c r="W299" i="64"/>
  <c r="X299" i="64" s="1"/>
  <c r="J299" i="64"/>
  <c r="K299" i="64" s="1"/>
  <c r="BW298" i="64"/>
  <c r="BX298" i="64" s="1"/>
  <c r="BJ298" i="64"/>
  <c r="BK298" i="64" s="1"/>
  <c r="AR298" i="64"/>
  <c r="AU298" i="64" s="1"/>
  <c r="AW298" i="64" s="1"/>
  <c r="AX298" i="64" s="1"/>
  <c r="AN298" i="64"/>
  <c r="AM298" i="64"/>
  <c r="AJ298" i="64"/>
  <c r="AK298" i="64" s="1"/>
  <c r="W298" i="64"/>
  <c r="X298" i="64" s="1"/>
  <c r="J298" i="64"/>
  <c r="K298" i="64" s="1"/>
  <c r="BU297" i="64"/>
  <c r="BW297" i="64" s="1"/>
  <c r="BX297" i="64" s="1"/>
  <c r="BR297" i="64"/>
  <c r="BN297" i="64"/>
  <c r="BJ297" i="64"/>
  <c r="BK297" i="64" s="1"/>
  <c r="AU297" i="64"/>
  <c r="AW297" i="64" s="1"/>
  <c r="AX297" i="64" s="1"/>
  <c r="AJ297" i="64"/>
  <c r="AK297" i="64" s="1"/>
  <c r="W297" i="64"/>
  <c r="X297" i="64" s="1"/>
  <c r="J297" i="64"/>
  <c r="K297" i="64" s="1"/>
  <c r="BX296" i="64"/>
  <c r="BW296" i="64"/>
  <c r="BK296" i="64"/>
  <c r="BJ296" i="64"/>
  <c r="AU296" i="64"/>
  <c r="AK296" i="64"/>
  <c r="AJ296" i="64"/>
  <c r="X296" i="64"/>
  <c r="W296" i="64"/>
  <c r="K296" i="64"/>
  <c r="J296" i="64"/>
  <c r="BW295" i="64"/>
  <c r="BX295" i="64" s="1"/>
  <c r="BJ295" i="64"/>
  <c r="BK295" i="64" s="1"/>
  <c r="AU295" i="64"/>
  <c r="AJ295" i="64"/>
  <c r="AK295" i="64" s="1"/>
  <c r="W295" i="64"/>
  <c r="X295" i="64" s="1"/>
  <c r="J295" i="64"/>
  <c r="K295" i="64" s="1"/>
  <c r="BX294" i="64"/>
  <c r="BW294" i="64"/>
  <c r="BJ294" i="64"/>
  <c r="BK294" i="64" s="1"/>
  <c r="AU294" i="64"/>
  <c r="AW294" i="64" s="1"/>
  <c r="AJ294" i="64"/>
  <c r="AK294" i="64" s="1"/>
  <c r="U294" i="64"/>
  <c r="R294" i="64"/>
  <c r="N294" i="64"/>
  <c r="I294" i="64"/>
  <c r="BU293" i="64"/>
  <c r="BW293" i="64" s="1"/>
  <c r="BR293" i="64"/>
  <c r="BN293" i="64"/>
  <c r="BJ293" i="64"/>
  <c r="BK293" i="64" s="1"/>
  <c r="AU293" i="64"/>
  <c r="AW293" i="64" s="1"/>
  <c r="AX293" i="64" s="1"/>
  <c r="AJ293" i="64"/>
  <c r="W293" i="64"/>
  <c r="X293" i="64" s="1"/>
  <c r="J293" i="64"/>
  <c r="K293" i="64" s="1"/>
  <c r="BW292" i="64"/>
  <c r="BX292" i="64" s="1"/>
  <c r="BJ292" i="64"/>
  <c r="BK292" i="64" s="1"/>
  <c r="AR292" i="64"/>
  <c r="AU292" i="64" s="1"/>
  <c r="AN292" i="64"/>
  <c r="AM292" i="64"/>
  <c r="AK292" i="64"/>
  <c r="U292" i="64"/>
  <c r="R292" i="64"/>
  <c r="N292" i="64"/>
  <c r="N311" i="64" s="1"/>
  <c r="J292" i="64"/>
  <c r="K292" i="64" s="1"/>
  <c r="BX291" i="64"/>
  <c r="BK291" i="64"/>
  <c r="AX291" i="64"/>
  <c r="AK291" i="64"/>
  <c r="CF289" i="64"/>
  <c r="O120" i="3"/>
  <c r="BZ289" i="64"/>
  <c r="N120" i="3" s="1"/>
  <c r="BV289" i="64"/>
  <c r="BU289" i="64"/>
  <c r="L120" i="3"/>
  <c r="BN289" i="64"/>
  <c r="BM289" i="64"/>
  <c r="BI289" i="64"/>
  <c r="BH289" i="64"/>
  <c r="BF289" i="64"/>
  <c r="K120" i="3" s="1"/>
  <c r="BE289" i="64"/>
  <c r="BA289" i="64"/>
  <c r="AZ289" i="64"/>
  <c r="AV289" i="64"/>
  <c r="AS289" i="64"/>
  <c r="J120" i="3" s="1"/>
  <c r="AR289" i="64"/>
  <c r="AN289" i="64"/>
  <c r="AM289" i="64"/>
  <c r="AI289" i="64"/>
  <c r="AH289" i="64"/>
  <c r="AF289" i="64"/>
  <c r="I120" i="3" s="1"/>
  <c r="AE289" i="64"/>
  <c r="AA289" i="64"/>
  <c r="Z289" i="64"/>
  <c r="V289" i="64"/>
  <c r="U289" i="64"/>
  <c r="S289" i="64"/>
  <c r="H120" i="3" s="1"/>
  <c r="R289" i="64"/>
  <c r="P289" i="64"/>
  <c r="N289" i="64"/>
  <c r="M289" i="64"/>
  <c r="I289" i="64"/>
  <c r="H289" i="64"/>
  <c r="BW288" i="64"/>
  <c r="BX288" i="64" s="1"/>
  <c r="BJ288" i="64"/>
  <c r="BK288" i="64" s="1"/>
  <c r="AU288" i="64"/>
  <c r="AW288" i="64" s="1"/>
  <c r="AJ288" i="64"/>
  <c r="AK288" i="64" s="1"/>
  <c r="W288" i="64"/>
  <c r="X288" i="64" s="1"/>
  <c r="K288" i="64"/>
  <c r="J288" i="64"/>
  <c r="BW287" i="64"/>
  <c r="BX287" i="64" s="1"/>
  <c r="BJ287" i="64"/>
  <c r="BK287" i="64" s="1"/>
  <c r="AW287" i="64"/>
  <c r="AX287" i="64" s="1"/>
  <c r="BX286" i="64"/>
  <c r="BW286" i="64"/>
  <c r="BK286" i="64"/>
  <c r="BJ286" i="64"/>
  <c r="AU286" i="64"/>
  <c r="AX286" i="64" s="1"/>
  <c r="AK286" i="64"/>
  <c r="AJ286" i="64"/>
  <c r="X286" i="64"/>
  <c r="W286" i="64"/>
  <c r="K286" i="64"/>
  <c r="J286" i="64"/>
  <c r="BW285" i="64"/>
  <c r="BX285" i="64" s="1"/>
  <c r="BJ285" i="64"/>
  <c r="BK285" i="64" s="1"/>
  <c r="AU285" i="64"/>
  <c r="AW285" i="64" s="1"/>
  <c r="AJ285" i="64"/>
  <c r="AK285" i="64" s="1"/>
  <c r="W285" i="64"/>
  <c r="X285" i="64" s="1"/>
  <c r="J285" i="64"/>
  <c r="K285" i="64" s="1"/>
  <c r="CF279" i="64"/>
  <c r="BV279" i="64"/>
  <c r="BU279" i="64"/>
  <c r="BR279" i="64"/>
  <c r="BN279" i="64"/>
  <c r="BM279" i="64"/>
  <c r="BI279" i="64"/>
  <c r="BH279" i="64"/>
  <c r="BE279" i="64"/>
  <c r="BA279" i="64"/>
  <c r="AZ279" i="64"/>
  <c r="AV279" i="64"/>
  <c r="AR279" i="64"/>
  <c r="AN279" i="64"/>
  <c r="AM279" i="64"/>
  <c r="AI279" i="64"/>
  <c r="AE279" i="64"/>
  <c r="AA279" i="64"/>
  <c r="Z279" i="64"/>
  <c r="V279" i="64"/>
  <c r="U279" i="64"/>
  <c r="S279" i="64"/>
  <c r="R279" i="64"/>
  <c r="P279" i="64"/>
  <c r="N279" i="64"/>
  <c r="M279" i="64"/>
  <c r="I279" i="64"/>
  <c r="BX276" i="64"/>
  <c r="BW276" i="64"/>
  <c r="BJ276" i="64"/>
  <c r="BK276" i="64" s="1"/>
  <c r="AU276" i="64"/>
  <c r="AW276" i="64" s="1"/>
  <c r="AJ276" i="64"/>
  <c r="AK276" i="64" s="1"/>
  <c r="W276" i="64"/>
  <c r="X276" i="64" s="1"/>
  <c r="J276" i="64"/>
  <c r="K276" i="64" s="1"/>
  <c r="BX274" i="64"/>
  <c r="BJ274" i="64"/>
  <c r="BK274" i="64" s="1"/>
  <c r="AU274" i="64"/>
  <c r="AW274" i="64" s="1"/>
  <c r="AX274" i="64" s="1"/>
  <c r="AJ274" i="64"/>
  <c r="AK274" i="64" s="1"/>
  <c r="W274" i="64"/>
  <c r="J274" i="64"/>
  <c r="K274" i="64" s="1"/>
  <c r="BW273" i="64"/>
  <c r="BX273" i="64" s="1"/>
  <c r="BJ273" i="64"/>
  <c r="BK273" i="64" s="1"/>
  <c r="AU273" i="64"/>
  <c r="AJ273" i="64"/>
  <c r="AK273" i="64" s="1"/>
  <c r="W273" i="64"/>
  <c r="X273" i="64" s="1"/>
  <c r="J273" i="64"/>
  <c r="K273" i="64" s="1"/>
  <c r="BW272" i="64"/>
  <c r="BJ272" i="64"/>
  <c r="AU272" i="64"/>
  <c r="AU277" i="64" s="1"/>
  <c r="AJ272" i="64"/>
  <c r="AJ277" i="64" s="1"/>
  <c r="AK277" i="64" s="1"/>
  <c r="W272" i="64"/>
  <c r="J272" i="64"/>
  <c r="CF267" i="64"/>
  <c r="O106" i="3"/>
  <c r="BZ267" i="64"/>
  <c r="N106" i="3" s="1"/>
  <c r="BV267" i="64"/>
  <c r="BU267" i="64"/>
  <c r="BR267" i="64"/>
  <c r="L106" i="3" s="1"/>
  <c r="BN267" i="64"/>
  <c r="BM267" i="64"/>
  <c r="BI267" i="64"/>
  <c r="BH267" i="64"/>
  <c r="BF267" i="64"/>
  <c r="K106" i="3" s="1"/>
  <c r="BE267" i="64"/>
  <c r="BA267" i="64"/>
  <c r="AZ267" i="64"/>
  <c r="AV267" i="64"/>
  <c r="AS267" i="64"/>
  <c r="J106" i="3" s="1"/>
  <c r="AR267" i="64"/>
  <c r="AN267" i="64"/>
  <c r="AM267" i="64"/>
  <c r="AI267" i="64"/>
  <c r="AH267" i="64"/>
  <c r="AF267" i="64"/>
  <c r="I106" i="3" s="1"/>
  <c r="AE267" i="64"/>
  <c r="AA267" i="64"/>
  <c r="Z267" i="64"/>
  <c r="V267" i="64"/>
  <c r="U267" i="64"/>
  <c r="S267" i="64"/>
  <c r="H106" i="3" s="1"/>
  <c r="R267" i="64"/>
  <c r="P267" i="64"/>
  <c r="N267" i="64"/>
  <c r="M267" i="64"/>
  <c r="I267" i="64"/>
  <c r="H267" i="64"/>
  <c r="BX265" i="64"/>
  <c r="BJ265" i="64"/>
  <c r="BK265" i="64" s="1"/>
  <c r="AU265" i="64"/>
  <c r="AJ265" i="64"/>
  <c r="AK265" i="64" s="1"/>
  <c r="W265" i="64"/>
  <c r="X265" i="64" s="1"/>
  <c r="J265" i="64"/>
  <c r="K265" i="64" s="1"/>
  <c r="BX266" i="64"/>
  <c r="BW266" i="64"/>
  <c r="BJ266" i="64"/>
  <c r="BK266" i="64" s="1"/>
  <c r="AU266" i="64"/>
  <c r="AJ266" i="64"/>
  <c r="AK266" i="64" s="1"/>
  <c r="W266" i="64"/>
  <c r="X266" i="64" s="1"/>
  <c r="J266" i="64"/>
  <c r="K266" i="64" s="1"/>
  <c r="BX263" i="64"/>
  <c r="BJ263" i="64"/>
  <c r="BK263" i="64" s="1"/>
  <c r="AU263" i="64"/>
  <c r="AW263" i="64" s="1"/>
  <c r="AX263" i="64" s="1"/>
  <c r="AJ263" i="64"/>
  <c r="AK263" i="64" s="1"/>
  <c r="W263" i="64"/>
  <c r="X263" i="64" s="1"/>
  <c r="J263" i="64"/>
  <c r="K263" i="64" s="1"/>
  <c r="BW262" i="64"/>
  <c r="BX262" i="64" s="1"/>
  <c r="BJ262" i="64"/>
  <c r="BK262" i="64" s="1"/>
  <c r="AU262" i="64"/>
  <c r="AJ262" i="64"/>
  <c r="AK262" i="64" s="1"/>
  <c r="W262" i="64"/>
  <c r="X262" i="64" s="1"/>
  <c r="J262" i="64"/>
  <c r="K262" i="64" s="1"/>
  <c r="BW261" i="64"/>
  <c r="BX261" i="64" s="1"/>
  <c r="BJ261" i="64"/>
  <c r="BK261" i="64" s="1"/>
  <c r="AU261" i="64"/>
  <c r="AW261" i="64" s="1"/>
  <c r="AX261" i="64" s="1"/>
  <c r="AJ261" i="64"/>
  <c r="AK261" i="64" s="1"/>
  <c r="W261" i="64"/>
  <c r="J261" i="64"/>
  <c r="K261" i="64" s="1"/>
  <c r="BX260" i="64"/>
  <c r="BW260" i="64"/>
  <c r="BK260" i="64"/>
  <c r="BJ260" i="64"/>
  <c r="AU260" i="64"/>
  <c r="AK260" i="64"/>
  <c r="AJ260" i="64"/>
  <c r="W260" i="64"/>
  <c r="X260" i="64" s="1"/>
  <c r="J260" i="64"/>
  <c r="K260" i="64" s="1"/>
  <c r="CF258" i="64"/>
  <c r="O103" i="3"/>
  <c r="O104" i="3" s="1"/>
  <c r="BZ258" i="64"/>
  <c r="N103" i="3" s="1"/>
  <c r="BV258" i="64"/>
  <c r="BU258" i="64"/>
  <c r="BR258" i="64"/>
  <c r="L103" i="3" s="1"/>
  <c r="L104" i="3" s="1"/>
  <c r="BN258" i="64"/>
  <c r="BM258" i="64"/>
  <c r="BI258" i="64"/>
  <c r="BH258" i="64"/>
  <c r="BF258" i="64"/>
  <c r="K103" i="3" s="1"/>
  <c r="K104" i="3" s="1"/>
  <c r="BE258" i="64"/>
  <c r="BA258" i="64"/>
  <c r="AZ258" i="64"/>
  <c r="AV258" i="64"/>
  <c r="AS258" i="64"/>
  <c r="J103" i="3" s="1"/>
  <c r="J104" i="3" s="1"/>
  <c r="AR258" i="64"/>
  <c r="AN258" i="64"/>
  <c r="AM258" i="64"/>
  <c r="AI258" i="64"/>
  <c r="AF258" i="64"/>
  <c r="I103" i="3" s="1"/>
  <c r="I104" i="3" s="1"/>
  <c r="AE258" i="64"/>
  <c r="AA258" i="64"/>
  <c r="Z258" i="64"/>
  <c r="V258" i="64"/>
  <c r="U258" i="64"/>
  <c r="S258" i="64"/>
  <c r="H103" i="3" s="1"/>
  <c r="R258" i="64"/>
  <c r="P258" i="64"/>
  <c r="N258" i="64"/>
  <c r="M258" i="64"/>
  <c r="I258" i="64"/>
  <c r="H258" i="64"/>
  <c r="BX257" i="64"/>
  <c r="BW257" i="64"/>
  <c r="BK257" i="64"/>
  <c r="BJ257" i="64"/>
  <c r="AU257" i="64"/>
  <c r="AK257" i="64"/>
  <c r="AJ257" i="64"/>
  <c r="X257" i="64"/>
  <c r="W257" i="64"/>
  <c r="J257" i="64"/>
  <c r="K257" i="64" s="1"/>
  <c r="BW256" i="64"/>
  <c r="BJ256" i="64"/>
  <c r="AU256" i="64"/>
  <c r="AJ256" i="64"/>
  <c r="AK256" i="64" s="1"/>
  <c r="W256" i="64"/>
  <c r="X256" i="64" s="1"/>
  <c r="J256" i="64"/>
  <c r="K256" i="64" s="1"/>
  <c r="CF249" i="64"/>
  <c r="O97" i="3"/>
  <c r="BZ249" i="64"/>
  <c r="N97" i="3" s="1"/>
  <c r="BV249" i="64"/>
  <c r="BU249" i="64"/>
  <c r="BR249" i="64"/>
  <c r="L97" i="3" s="1"/>
  <c r="BN249" i="64"/>
  <c r="BM249" i="64"/>
  <c r="BI249" i="64"/>
  <c r="BH249" i="64"/>
  <c r="BF249" i="64"/>
  <c r="K97" i="3" s="1"/>
  <c r="BE249" i="64"/>
  <c r="BA249" i="64"/>
  <c r="AZ249" i="64"/>
  <c r="AV249" i="64"/>
  <c r="AS249" i="64"/>
  <c r="J97" i="3" s="1"/>
  <c r="AR249" i="64"/>
  <c r="AN249" i="64"/>
  <c r="AM249" i="64"/>
  <c r="AI249" i="64"/>
  <c r="AF249" i="64"/>
  <c r="I97" i="3" s="1"/>
  <c r="AE249" i="64"/>
  <c r="AA249" i="64"/>
  <c r="Z249" i="64"/>
  <c r="V249" i="64"/>
  <c r="U249" i="64"/>
  <c r="S249" i="64"/>
  <c r="H97" i="3" s="1"/>
  <c r="R249" i="64"/>
  <c r="P249" i="64"/>
  <c r="N249" i="64"/>
  <c r="M249" i="64"/>
  <c r="I249" i="64"/>
  <c r="H249" i="64"/>
  <c r="BX248" i="64"/>
  <c r="BW248" i="64"/>
  <c r="BK248" i="64"/>
  <c r="BJ248" i="64"/>
  <c r="AU248" i="64"/>
  <c r="AK248" i="64"/>
  <c r="AJ248" i="64"/>
  <c r="X248" i="64"/>
  <c r="W248" i="64"/>
  <c r="K248" i="64"/>
  <c r="J248" i="64"/>
  <c r="BW247" i="64"/>
  <c r="BJ247" i="64"/>
  <c r="AU247" i="64"/>
  <c r="AW247" i="64" s="1"/>
  <c r="AJ247" i="64"/>
  <c r="W247" i="64"/>
  <c r="J247" i="64"/>
  <c r="K247" i="64" s="1"/>
  <c r="CF245" i="64"/>
  <c r="BZ245" i="64"/>
  <c r="N96" i="3" s="1"/>
  <c r="BV245" i="64"/>
  <c r="BU245" i="64"/>
  <c r="BR245" i="64"/>
  <c r="L96" i="3" s="1"/>
  <c r="BN245" i="64"/>
  <c r="BM245" i="64"/>
  <c r="BI245" i="64"/>
  <c r="BH245" i="64"/>
  <c r="BF245" i="64"/>
  <c r="K96" i="3" s="1"/>
  <c r="BE245" i="64"/>
  <c r="BA245" i="64"/>
  <c r="AZ245" i="64"/>
  <c r="AV245" i="64"/>
  <c r="AS245" i="64"/>
  <c r="J96" i="3" s="1"/>
  <c r="AR245" i="64"/>
  <c r="AN245" i="64"/>
  <c r="AM245" i="64"/>
  <c r="AI245" i="64"/>
  <c r="AF245" i="64"/>
  <c r="I96" i="3" s="1"/>
  <c r="AE245" i="64"/>
  <c r="AA245" i="64"/>
  <c r="Z245" i="64"/>
  <c r="V245" i="64"/>
  <c r="U245" i="64"/>
  <c r="S245" i="64"/>
  <c r="H96" i="3" s="1"/>
  <c r="R245" i="64"/>
  <c r="P245" i="64"/>
  <c r="N245" i="64"/>
  <c r="M245" i="64"/>
  <c r="I245" i="64"/>
  <c r="H245" i="64"/>
  <c r="BX244" i="64"/>
  <c r="BW244" i="64"/>
  <c r="BK244" i="64"/>
  <c r="BJ244" i="64"/>
  <c r="AU244" i="64"/>
  <c r="AW244" i="64" s="1"/>
  <c r="AK244" i="64"/>
  <c r="AJ244" i="64"/>
  <c r="X244" i="64"/>
  <c r="W244" i="64"/>
  <c r="J244" i="64"/>
  <c r="K244" i="64" s="1"/>
  <c r="BW243" i="64"/>
  <c r="BJ243" i="64"/>
  <c r="AU243" i="64"/>
  <c r="AJ243" i="64"/>
  <c r="AK243" i="64" s="1"/>
  <c r="W243" i="64"/>
  <c r="X243" i="64" s="1"/>
  <c r="J243" i="64"/>
  <c r="K243" i="64" s="1"/>
  <c r="AK240" i="64"/>
  <c r="CF238" i="64"/>
  <c r="CF240" i="64" s="1"/>
  <c r="BZ238" i="64"/>
  <c r="BV238" i="64"/>
  <c r="BV240" i="64" s="1"/>
  <c r="BU238" i="64"/>
  <c r="BR238" i="64"/>
  <c r="BN238" i="64"/>
  <c r="BN240" i="64" s="1"/>
  <c r="BM238" i="64"/>
  <c r="BM240" i="64" s="1"/>
  <c r="BI238" i="64"/>
  <c r="BI240" i="64" s="1"/>
  <c r="BH238" i="64"/>
  <c r="BF238" i="64"/>
  <c r="BE238" i="64"/>
  <c r="BE240" i="64" s="1"/>
  <c r="BA238" i="64"/>
  <c r="BA240" i="64" s="1"/>
  <c r="AZ238" i="64"/>
  <c r="AZ240" i="64" s="1"/>
  <c r="AV238" i="64"/>
  <c r="AV240" i="64" s="1"/>
  <c r="AS238" i="64"/>
  <c r="AR238" i="64"/>
  <c r="AR240" i="64" s="1"/>
  <c r="AN238" i="64"/>
  <c r="AN240" i="64" s="1"/>
  <c r="AM238" i="64"/>
  <c r="AM240" i="64" s="1"/>
  <c r="AK238" i="64"/>
  <c r="AI238" i="64"/>
  <c r="AI240" i="64" s="1"/>
  <c r="AF238" i="64"/>
  <c r="AE238" i="64"/>
  <c r="AE240" i="64" s="1"/>
  <c r="AA238" i="64"/>
  <c r="AA240" i="64" s="1"/>
  <c r="Z238" i="64"/>
  <c r="Z240" i="64" s="1"/>
  <c r="V238" i="64"/>
  <c r="V240" i="64" s="1"/>
  <c r="U238" i="64"/>
  <c r="U240" i="64" s="1"/>
  <c r="X240" i="64" s="1"/>
  <c r="S238" i="64"/>
  <c r="S240" i="64" s="1"/>
  <c r="R238" i="64"/>
  <c r="R240" i="64" s="1"/>
  <c r="P238" i="64"/>
  <c r="P240" i="64" s="1"/>
  <c r="N238" i="64"/>
  <c r="N240" i="64" s="1"/>
  <c r="M238" i="64"/>
  <c r="M240" i="64" s="1"/>
  <c r="I238" i="64"/>
  <c r="I240" i="64" s="1"/>
  <c r="H238" i="64"/>
  <c r="BX237" i="64"/>
  <c r="BW237" i="64"/>
  <c r="BW238" i="64" s="1"/>
  <c r="BK237" i="64"/>
  <c r="BJ237" i="64"/>
  <c r="BJ238" i="64" s="1"/>
  <c r="BJ240" i="64" s="1"/>
  <c r="AU237" i="64"/>
  <c r="AX237" i="64" s="1"/>
  <c r="AK237" i="64"/>
  <c r="AJ237" i="64"/>
  <c r="AJ238" i="64" s="1"/>
  <c r="AJ240" i="64" s="1"/>
  <c r="X237" i="64"/>
  <c r="W237" i="64"/>
  <c r="W238" i="64" s="1"/>
  <c r="W240" i="64" s="1"/>
  <c r="J237" i="64"/>
  <c r="J238" i="64" s="1"/>
  <c r="J240" i="64" s="1"/>
  <c r="CF232" i="64"/>
  <c r="O86" i="3"/>
  <c r="BZ232" i="64"/>
  <c r="N86" i="3" s="1"/>
  <c r="BV232" i="64"/>
  <c r="BM232" i="64"/>
  <c r="BI232" i="64"/>
  <c r="BF232" i="64"/>
  <c r="K86" i="3" s="1"/>
  <c r="AZ232" i="64"/>
  <c r="AV232" i="64"/>
  <c r="AS232" i="64"/>
  <c r="J86" i="3" s="1"/>
  <c r="AR232" i="64"/>
  <c r="AN232" i="64"/>
  <c r="AM232" i="64"/>
  <c r="AI232" i="64"/>
  <c r="AF232" i="64"/>
  <c r="I86" i="3" s="1"/>
  <c r="Z232" i="64"/>
  <c r="V232" i="64"/>
  <c r="U232" i="64"/>
  <c r="S232" i="64"/>
  <c r="H86" i="3" s="1"/>
  <c r="R232" i="64"/>
  <c r="P232" i="64"/>
  <c r="N232" i="64"/>
  <c r="M232" i="64"/>
  <c r="I232" i="64"/>
  <c r="H232" i="64"/>
  <c r="BW231" i="64"/>
  <c r="BX231" i="64" s="1"/>
  <c r="BJ231" i="64"/>
  <c r="BK231" i="64" s="1"/>
  <c r="AU231" i="64"/>
  <c r="AJ231" i="64"/>
  <c r="AK231" i="64" s="1"/>
  <c r="W231" i="64"/>
  <c r="X231" i="64" s="1"/>
  <c r="J231" i="64"/>
  <c r="K231" i="64" s="1"/>
  <c r="BW230" i="64"/>
  <c r="BX230" i="64" s="1"/>
  <c r="BJ230" i="64"/>
  <c r="BK230" i="64" s="1"/>
  <c r="AU230" i="64"/>
  <c r="AW230" i="64" s="1"/>
  <c r="AX230" i="64" s="1"/>
  <c r="AJ230" i="64"/>
  <c r="AK230" i="64" s="1"/>
  <c r="W230" i="64"/>
  <c r="X230" i="64" s="1"/>
  <c r="J230" i="64"/>
  <c r="K230" i="64" s="1"/>
  <c r="BW229" i="64"/>
  <c r="BX229" i="64" s="1"/>
  <c r="BJ229" i="64"/>
  <c r="BK229" i="64" s="1"/>
  <c r="AU229" i="64"/>
  <c r="AJ229" i="64"/>
  <c r="AK229" i="64" s="1"/>
  <c r="W229" i="64"/>
  <c r="X229" i="64" s="1"/>
  <c r="J229" i="64"/>
  <c r="K229" i="64" s="1"/>
  <c r="BW228" i="64"/>
  <c r="BX228" i="64" s="1"/>
  <c r="BH228" i="64"/>
  <c r="BJ228" i="64" s="1"/>
  <c r="BK228" i="64" s="1"/>
  <c r="BE228" i="64"/>
  <c r="BA228" i="64"/>
  <c r="AU228" i="64"/>
  <c r="AW228" i="64" s="1"/>
  <c r="AJ228" i="64"/>
  <c r="AK228" i="64" s="1"/>
  <c r="AE228" i="64"/>
  <c r="AE232" i="64" s="1"/>
  <c r="AA228" i="64"/>
  <c r="AA232" i="64" s="1"/>
  <c r="W228" i="64"/>
  <c r="X228" i="64" s="1"/>
  <c r="J228" i="64"/>
  <c r="K228" i="64" s="1"/>
  <c r="BW227" i="64"/>
  <c r="BX227" i="64" s="1"/>
  <c r="BJ227" i="64"/>
  <c r="BK227" i="64" s="1"/>
  <c r="AU227" i="64"/>
  <c r="AW227" i="64" s="1"/>
  <c r="AJ227" i="64"/>
  <c r="AK227" i="64" s="1"/>
  <c r="W227" i="64"/>
  <c r="X227" i="64" s="1"/>
  <c r="J227" i="64"/>
  <c r="K227" i="64" s="1"/>
  <c r="BW226" i="64"/>
  <c r="BX226" i="64" s="1"/>
  <c r="BJ226" i="64"/>
  <c r="BK226" i="64" s="1"/>
  <c r="AU226" i="64"/>
  <c r="AW226" i="64" s="1"/>
  <c r="AX226" i="64" s="1"/>
  <c r="AJ226" i="64"/>
  <c r="AK226" i="64" s="1"/>
  <c r="W226" i="64"/>
  <c r="X226" i="64" s="1"/>
  <c r="J226" i="64"/>
  <c r="K226" i="64" s="1"/>
  <c r="BW225" i="64"/>
  <c r="BX225" i="64" s="1"/>
  <c r="BJ225" i="64"/>
  <c r="BK225" i="64" s="1"/>
  <c r="AU225" i="64"/>
  <c r="AJ225" i="64"/>
  <c r="AK225" i="64" s="1"/>
  <c r="W225" i="64"/>
  <c r="X225" i="64" s="1"/>
  <c r="J225" i="64"/>
  <c r="K225" i="64" s="1"/>
  <c r="BX224" i="64"/>
  <c r="BW224" i="64"/>
  <c r="BK224" i="64"/>
  <c r="BJ224" i="64"/>
  <c r="AU224" i="64"/>
  <c r="AX224" i="64" s="1"/>
  <c r="AK224" i="64"/>
  <c r="AJ224" i="64"/>
  <c r="X224" i="64"/>
  <c r="W224" i="64"/>
  <c r="J224" i="64"/>
  <c r="K224" i="64" s="1"/>
  <c r="BW223" i="64"/>
  <c r="BX223" i="64" s="1"/>
  <c r="BJ223" i="64"/>
  <c r="BK223" i="64" s="1"/>
  <c r="AU223" i="64"/>
  <c r="AW223" i="64" s="1"/>
  <c r="AJ223" i="64"/>
  <c r="AK223" i="64" s="1"/>
  <c r="W223" i="64"/>
  <c r="X223" i="64" s="1"/>
  <c r="K223" i="64"/>
  <c r="J223" i="64"/>
  <c r="BW222" i="64"/>
  <c r="BX222" i="64" s="1"/>
  <c r="BJ222" i="64"/>
  <c r="BK222" i="64" s="1"/>
  <c r="AU222" i="64"/>
  <c r="AJ222" i="64"/>
  <c r="AK222" i="64" s="1"/>
  <c r="W222" i="64"/>
  <c r="X222" i="64" s="1"/>
  <c r="J222" i="64"/>
  <c r="K222" i="64" s="1"/>
  <c r="BW221" i="64"/>
  <c r="BX221" i="64" s="1"/>
  <c r="BJ221" i="64"/>
  <c r="BK221" i="64" s="1"/>
  <c r="AU221" i="64"/>
  <c r="AW221" i="64" s="1"/>
  <c r="AJ221" i="64"/>
  <c r="AK221" i="64" s="1"/>
  <c r="W221" i="64"/>
  <c r="X221" i="64" s="1"/>
  <c r="J221" i="64"/>
  <c r="K221" i="64" s="1"/>
  <c r="BW220" i="64"/>
  <c r="BX220" i="64" s="1"/>
  <c r="BJ220" i="64"/>
  <c r="BK220" i="64" s="1"/>
  <c r="AU220" i="64"/>
  <c r="AW220" i="64" s="1"/>
  <c r="AJ220" i="64"/>
  <c r="AK220" i="64" s="1"/>
  <c r="W220" i="64"/>
  <c r="X220" i="64" s="1"/>
  <c r="J220" i="64"/>
  <c r="K220" i="64" s="1"/>
  <c r="BU219" i="64"/>
  <c r="BU232" i="64" s="1"/>
  <c r="BR219" i="64"/>
  <c r="BR232" i="64" s="1"/>
  <c r="L86" i="3" s="1"/>
  <c r="BN219" i="64"/>
  <c r="BN232" i="64" s="1"/>
  <c r="BJ219" i="64"/>
  <c r="BW218" i="64"/>
  <c r="BX218" i="64" s="1"/>
  <c r="BJ218" i="64"/>
  <c r="BK218" i="64" s="1"/>
  <c r="AU218" i="64"/>
  <c r="AJ218" i="64"/>
  <c r="AK218" i="64" s="1"/>
  <c r="W218" i="64"/>
  <c r="X218" i="64" s="1"/>
  <c r="J218" i="64"/>
  <c r="K218" i="64" s="1"/>
  <c r="BW217" i="64"/>
  <c r="BX217" i="64" s="1"/>
  <c r="BH217" i="64"/>
  <c r="BE217" i="64"/>
  <c r="BA217" i="64"/>
  <c r="AU217" i="64"/>
  <c r="AJ217" i="64"/>
  <c r="AK217" i="64" s="1"/>
  <c r="W217" i="64"/>
  <c r="X217" i="64" s="1"/>
  <c r="J217" i="64"/>
  <c r="CF213" i="64"/>
  <c r="O83" i="3"/>
  <c r="BZ213" i="64"/>
  <c r="N83" i="3" s="1"/>
  <c r="BV213" i="64"/>
  <c r="BU213" i="64"/>
  <c r="BR213" i="64"/>
  <c r="L83" i="3" s="1"/>
  <c r="BN213" i="64"/>
  <c r="BM213" i="64"/>
  <c r="BI213" i="64"/>
  <c r="BF213" i="64"/>
  <c r="K83" i="3" s="1"/>
  <c r="AZ213" i="64"/>
  <c r="AV213" i="64"/>
  <c r="AS213" i="64"/>
  <c r="J83" i="3" s="1"/>
  <c r="AR213" i="64"/>
  <c r="AN213" i="64"/>
  <c r="AM213" i="64"/>
  <c r="AI213" i="64"/>
  <c r="AF213" i="64"/>
  <c r="I83" i="3" s="1"/>
  <c r="AE213" i="64"/>
  <c r="AA213" i="64"/>
  <c r="Z213" i="64"/>
  <c r="V213" i="64"/>
  <c r="U213" i="64"/>
  <c r="S213" i="64"/>
  <c r="H83" i="3" s="1"/>
  <c r="R213" i="64"/>
  <c r="P213" i="64"/>
  <c r="N213" i="64"/>
  <c r="M213" i="64"/>
  <c r="I213" i="64"/>
  <c r="H213" i="64"/>
  <c r="BW212" i="64"/>
  <c r="BX212" i="64" s="1"/>
  <c r="BH212" i="64"/>
  <c r="BE212" i="64"/>
  <c r="BE213" i="64" s="1"/>
  <c r="BA212" i="64"/>
  <c r="BA213" i="64" s="1"/>
  <c r="AU212" i="64"/>
  <c r="AW212" i="64" s="1"/>
  <c r="AX212" i="64" s="1"/>
  <c r="AJ212" i="64"/>
  <c r="AK212" i="64" s="1"/>
  <c r="W212" i="64"/>
  <c r="X212" i="64" s="1"/>
  <c r="J212" i="64"/>
  <c r="K212" i="64" s="1"/>
  <c r="BW211" i="64"/>
  <c r="BX211" i="64" s="1"/>
  <c r="BJ211" i="64"/>
  <c r="BK211" i="64" s="1"/>
  <c r="AU211" i="64"/>
  <c r="AJ211" i="64"/>
  <c r="AK211" i="64" s="1"/>
  <c r="W211" i="64"/>
  <c r="X211" i="64" s="1"/>
  <c r="J211" i="64"/>
  <c r="K211" i="64" s="1"/>
  <c r="BW210" i="64"/>
  <c r="BX210" i="64" s="1"/>
  <c r="BJ210" i="64"/>
  <c r="BK210" i="64" s="1"/>
  <c r="AU210" i="64"/>
  <c r="AW210" i="64" s="1"/>
  <c r="AJ210" i="64"/>
  <c r="AK210" i="64" s="1"/>
  <c r="W210" i="64"/>
  <c r="X210" i="64" s="1"/>
  <c r="J210" i="64"/>
  <c r="K210" i="64" s="1"/>
  <c r="BX209" i="64"/>
  <c r="BW209" i="64"/>
  <c r="BK209" i="64"/>
  <c r="BJ209" i="64"/>
  <c r="AU209" i="64"/>
  <c r="AX209" i="64" s="1"/>
  <c r="AJ209" i="64"/>
  <c r="AK209" i="64" s="1"/>
  <c r="W209" i="64"/>
  <c r="X209" i="64" s="1"/>
  <c r="J209" i="64"/>
  <c r="K209" i="64" s="1"/>
  <c r="BW208" i="64"/>
  <c r="BJ208" i="64"/>
  <c r="AU208" i="64"/>
  <c r="AW208" i="64" s="1"/>
  <c r="AJ208" i="64"/>
  <c r="BW207" i="64"/>
  <c r="BJ207" i="64"/>
  <c r="BK207" i="64" s="1"/>
  <c r="AU207" i="64"/>
  <c r="AW207" i="64" s="1"/>
  <c r="AX207" i="64" s="1"/>
  <c r="AJ207" i="64"/>
  <c r="AK207" i="64" s="1"/>
  <c r="W207" i="64"/>
  <c r="X207" i="64" s="1"/>
  <c r="J207" i="64"/>
  <c r="K207" i="64" s="1"/>
  <c r="CF205" i="64"/>
  <c r="O82" i="3"/>
  <c r="BZ205" i="64"/>
  <c r="N82" i="3" s="1"/>
  <c r="BV205" i="64"/>
  <c r="BU205" i="64"/>
  <c r="BR205" i="64"/>
  <c r="L82" i="3" s="1"/>
  <c r="BN205" i="64"/>
  <c r="BM205" i="64"/>
  <c r="BI205" i="64"/>
  <c r="BH205" i="64"/>
  <c r="BF205" i="64"/>
  <c r="K82" i="3" s="1"/>
  <c r="BE205" i="64"/>
  <c r="BA205" i="64"/>
  <c r="AZ205" i="64"/>
  <c r="AV205" i="64"/>
  <c r="AS205" i="64"/>
  <c r="J82" i="3" s="1"/>
  <c r="AR205" i="64"/>
  <c r="AN205" i="64"/>
  <c r="AM205" i="64"/>
  <c r="AI205" i="64"/>
  <c r="AF205" i="64"/>
  <c r="I82" i="3" s="1"/>
  <c r="AE205" i="64"/>
  <c r="AA205" i="64"/>
  <c r="Z205" i="64"/>
  <c r="V205" i="64"/>
  <c r="U205" i="64"/>
  <c r="S205" i="64"/>
  <c r="H82" i="3" s="1"/>
  <c r="R205" i="64"/>
  <c r="P205" i="64"/>
  <c r="N205" i="64"/>
  <c r="M205" i="64"/>
  <c r="J205" i="64"/>
  <c r="I205" i="64"/>
  <c r="H205" i="64"/>
  <c r="BW204" i="64"/>
  <c r="BJ204" i="64"/>
  <c r="AU204" i="64"/>
  <c r="AW204" i="64" s="1"/>
  <c r="AJ204" i="64"/>
  <c r="W204" i="64"/>
  <c r="BW203" i="64"/>
  <c r="BJ203" i="64"/>
  <c r="BK203" i="64" s="1"/>
  <c r="BK205" i="64" s="1"/>
  <c r="AU203" i="64"/>
  <c r="AJ203" i="64"/>
  <c r="AK203" i="64" s="1"/>
  <c r="AK205" i="64" s="1"/>
  <c r="W203" i="64"/>
  <c r="X203" i="64" s="1"/>
  <c r="X205" i="64" s="1"/>
  <c r="K203" i="64"/>
  <c r="K205" i="64" s="1"/>
  <c r="CF198" i="64"/>
  <c r="O77" i="3"/>
  <c r="BZ198" i="64"/>
  <c r="N77" i="3" s="1"/>
  <c r="BV198" i="64"/>
  <c r="BU198" i="64"/>
  <c r="BR198" i="64"/>
  <c r="L77" i="3" s="1"/>
  <c r="BN198" i="64"/>
  <c r="BM198" i="64"/>
  <c r="BI198" i="64"/>
  <c r="BH198" i="64"/>
  <c r="BF198" i="64"/>
  <c r="K77" i="3" s="1"/>
  <c r="BE198" i="64"/>
  <c r="BA198" i="64"/>
  <c r="AZ198" i="64"/>
  <c r="AV198" i="64"/>
  <c r="AS198" i="64"/>
  <c r="J77" i="3" s="1"/>
  <c r="AI198" i="64"/>
  <c r="AH198" i="64"/>
  <c r="AF198" i="64"/>
  <c r="I77" i="3" s="1"/>
  <c r="AE198" i="64"/>
  <c r="AA198" i="64"/>
  <c r="Z198" i="64"/>
  <c r="V198" i="64"/>
  <c r="U198" i="64"/>
  <c r="S198" i="64"/>
  <c r="H77" i="3" s="1"/>
  <c r="R198" i="64"/>
  <c r="P198" i="64"/>
  <c r="N198" i="64"/>
  <c r="M198" i="64"/>
  <c r="I198" i="64"/>
  <c r="H198" i="64"/>
  <c r="BW197" i="64"/>
  <c r="BX197" i="64" s="1"/>
  <c r="BJ197" i="64"/>
  <c r="BK197" i="64" s="1"/>
  <c r="AU197" i="64"/>
  <c r="AW197" i="64" s="1"/>
  <c r="AJ197" i="64"/>
  <c r="AK197" i="64" s="1"/>
  <c r="W197" i="64"/>
  <c r="X197" i="64" s="1"/>
  <c r="J197" i="64"/>
  <c r="K197" i="64" s="1"/>
  <c r="BW196" i="64"/>
  <c r="BJ196" i="64"/>
  <c r="BW195" i="64"/>
  <c r="BJ195" i="64"/>
  <c r="AR195" i="64"/>
  <c r="AR198" i="64" s="1"/>
  <c r="AN195" i="64"/>
  <c r="AN198" i="64" s="1"/>
  <c r="AM195" i="64"/>
  <c r="AM198" i="64" s="1"/>
  <c r="AJ195" i="64"/>
  <c r="W195" i="64"/>
  <c r="J195" i="64"/>
  <c r="BX194" i="64"/>
  <c r="BW194" i="64"/>
  <c r="BK194" i="64"/>
  <c r="BJ194" i="64"/>
  <c r="AU194" i="64"/>
  <c r="AX194" i="64" s="1"/>
  <c r="AK194" i="64"/>
  <c r="AJ194" i="64"/>
  <c r="X194" i="64"/>
  <c r="W194" i="64"/>
  <c r="J194" i="64"/>
  <c r="K194" i="64" s="1"/>
  <c r="BW193" i="64"/>
  <c r="BJ193" i="64"/>
  <c r="AU193" i="64"/>
  <c r="BW192" i="64"/>
  <c r="BX192" i="64" s="1"/>
  <c r="BK192" i="64"/>
  <c r="BJ192" i="64"/>
  <c r="AU192" i="64"/>
  <c r="AX192" i="64" s="1"/>
  <c r="AK192" i="64"/>
  <c r="AJ192" i="64"/>
  <c r="X192" i="64"/>
  <c r="W192" i="64"/>
  <c r="J192" i="64"/>
  <c r="K192" i="64" s="1"/>
  <c r="CF190" i="64"/>
  <c r="O74" i="3"/>
  <c r="O75" i="3" s="1"/>
  <c r="BZ190" i="64"/>
  <c r="N74" i="3" s="1"/>
  <c r="BV190" i="64"/>
  <c r="BU190" i="64"/>
  <c r="BR190" i="64"/>
  <c r="BN190" i="64"/>
  <c r="BM190" i="64"/>
  <c r="BI190" i="64"/>
  <c r="BH190" i="64"/>
  <c r="BF190" i="64"/>
  <c r="K74" i="3" s="1"/>
  <c r="K75" i="3" s="1"/>
  <c r="BE190" i="64"/>
  <c r="BA190" i="64"/>
  <c r="AZ190" i="64"/>
  <c r="AV190" i="64"/>
  <c r="AS190" i="64"/>
  <c r="AR190" i="64"/>
  <c r="AN190" i="64"/>
  <c r="AM190" i="64"/>
  <c r="AK190" i="64"/>
  <c r="AI190" i="64"/>
  <c r="AF190" i="64"/>
  <c r="I74" i="3" s="1"/>
  <c r="I75" i="3" s="1"/>
  <c r="AE190" i="64"/>
  <c r="AA190" i="64"/>
  <c r="Z190" i="64"/>
  <c r="V190" i="64"/>
  <c r="U190" i="64"/>
  <c r="X190" i="64" s="1"/>
  <c r="S190" i="64"/>
  <c r="R190" i="64"/>
  <c r="P190" i="64"/>
  <c r="N190" i="64"/>
  <c r="M190" i="64"/>
  <c r="I190" i="64"/>
  <c r="H190" i="64"/>
  <c r="BW189" i="64"/>
  <c r="BJ189" i="64"/>
  <c r="AU189" i="64"/>
  <c r="AW189" i="64" s="1"/>
  <c r="AJ189" i="64"/>
  <c r="W189" i="64"/>
  <c r="J189" i="64"/>
  <c r="BX187" i="64"/>
  <c r="BW187" i="64"/>
  <c r="BK187" i="64"/>
  <c r="BJ187" i="64"/>
  <c r="AU187" i="64"/>
  <c r="AK187" i="64"/>
  <c r="AJ187" i="64"/>
  <c r="AJ190" i="64" s="1"/>
  <c r="X187" i="64"/>
  <c r="W187" i="64"/>
  <c r="W190" i="64" s="1"/>
  <c r="J187" i="64"/>
  <c r="K187" i="64" s="1"/>
  <c r="CF182" i="64"/>
  <c r="CF184" i="64" s="1"/>
  <c r="BZ182" i="64"/>
  <c r="BV182" i="64"/>
  <c r="BV184" i="64" s="1"/>
  <c r="BU182" i="64"/>
  <c r="BR182" i="64"/>
  <c r="BN182" i="64"/>
  <c r="BN184" i="64" s="1"/>
  <c r="BM182" i="64"/>
  <c r="BM184" i="64" s="1"/>
  <c r="BI182" i="64"/>
  <c r="BI184" i="64" s="1"/>
  <c r="BH182" i="64"/>
  <c r="BH184" i="64" s="1"/>
  <c r="BF182" i="64"/>
  <c r="BE182" i="64"/>
  <c r="BE184" i="64" s="1"/>
  <c r="BA182" i="64"/>
  <c r="BA184" i="64" s="1"/>
  <c r="AZ182" i="64"/>
  <c r="AZ184" i="64" s="1"/>
  <c r="AV182" i="64"/>
  <c r="AV184" i="64" s="1"/>
  <c r="AS182" i="64"/>
  <c r="AR182" i="64"/>
  <c r="AR184" i="64" s="1"/>
  <c r="AN182" i="64"/>
  <c r="AN184" i="64" s="1"/>
  <c r="AM182" i="64"/>
  <c r="AM184" i="64" s="1"/>
  <c r="AI182" i="64"/>
  <c r="AI184" i="64" s="1"/>
  <c r="AF182" i="64"/>
  <c r="AE182" i="64"/>
  <c r="AE184" i="64" s="1"/>
  <c r="AA182" i="64"/>
  <c r="AA184" i="64" s="1"/>
  <c r="Z182" i="64"/>
  <c r="Z184" i="64" s="1"/>
  <c r="V182" i="64"/>
  <c r="V184" i="64" s="1"/>
  <c r="U182" i="64"/>
  <c r="S182" i="64"/>
  <c r="S184" i="64" s="1"/>
  <c r="R182" i="64"/>
  <c r="R184" i="64" s="1"/>
  <c r="P182" i="64"/>
  <c r="P184" i="64" s="1"/>
  <c r="N182" i="64"/>
  <c r="N184" i="64" s="1"/>
  <c r="M182" i="64"/>
  <c r="M184" i="64" s="1"/>
  <c r="I182" i="64"/>
  <c r="I184" i="64" s="1"/>
  <c r="H182" i="64"/>
  <c r="H184" i="64" s="1"/>
  <c r="BW181" i="64"/>
  <c r="BW182" i="64" s="1"/>
  <c r="BJ181" i="64"/>
  <c r="BJ182" i="64" s="1"/>
  <c r="AU181" i="64"/>
  <c r="AJ181" i="64"/>
  <c r="W181" i="64"/>
  <c r="X181" i="64" s="1"/>
  <c r="J181" i="64"/>
  <c r="J182" i="64" s="1"/>
  <c r="J184" i="64" s="1"/>
  <c r="CF176" i="64"/>
  <c r="CF178" i="64" s="1"/>
  <c r="BZ176" i="64"/>
  <c r="BV176" i="64"/>
  <c r="BV178" i="64" s="1"/>
  <c r="BM176" i="64"/>
  <c r="BM178" i="64" s="1"/>
  <c r="BF176" i="64"/>
  <c r="AZ176" i="64"/>
  <c r="AZ178" i="64" s="1"/>
  <c r="AV176" i="64"/>
  <c r="AV178" i="64" s="1"/>
  <c r="AS176" i="64"/>
  <c r="AI176" i="64"/>
  <c r="AI178" i="64" s="1"/>
  <c r="AF176" i="64"/>
  <c r="AE176" i="64"/>
  <c r="AE178" i="64" s="1"/>
  <c r="AA176" i="64"/>
  <c r="AA178" i="64" s="1"/>
  <c r="Z176" i="64"/>
  <c r="Z178" i="64" s="1"/>
  <c r="V176" i="64"/>
  <c r="V178" i="64" s="1"/>
  <c r="U176" i="64"/>
  <c r="S176" i="64"/>
  <c r="S178" i="64" s="1"/>
  <c r="R176" i="64"/>
  <c r="R178" i="64" s="1"/>
  <c r="P176" i="64"/>
  <c r="P178" i="64" s="1"/>
  <c r="N176" i="64"/>
  <c r="N178" i="64" s="1"/>
  <c r="M176" i="64"/>
  <c r="M178" i="64" s="1"/>
  <c r="I176" i="64"/>
  <c r="I178" i="64" s="1"/>
  <c r="H176" i="64"/>
  <c r="H178" i="64" s="1"/>
  <c r="BX175" i="64"/>
  <c r="BW175" i="64"/>
  <c r="BK175" i="64"/>
  <c r="BJ175" i="64"/>
  <c r="AU175" i="64"/>
  <c r="AX175" i="64" s="1"/>
  <c r="AK175" i="64"/>
  <c r="AJ175" i="64"/>
  <c r="X175" i="64"/>
  <c r="W175" i="64"/>
  <c r="K175" i="64"/>
  <c r="J175" i="64"/>
  <c r="BW174" i="64"/>
  <c r="BJ174" i="64"/>
  <c r="AU174" i="64"/>
  <c r="AW174" i="64" s="1"/>
  <c r="BW173" i="64"/>
  <c r="BX173" i="64" s="1"/>
  <c r="BJ173" i="64"/>
  <c r="BK173" i="64" s="1"/>
  <c r="AU173" i="64"/>
  <c r="AJ173" i="64"/>
  <c r="AK173" i="64" s="1"/>
  <c r="W173" i="64"/>
  <c r="X173" i="64" s="1"/>
  <c r="J173" i="64"/>
  <c r="K173" i="64" s="1"/>
  <c r="BX172" i="64"/>
  <c r="BW172" i="64"/>
  <c r="BK172" i="64"/>
  <c r="BJ172" i="64"/>
  <c r="AU172" i="64"/>
  <c r="AX172" i="64" s="1"/>
  <c r="AK172" i="64"/>
  <c r="AJ172" i="64"/>
  <c r="BX171" i="64"/>
  <c r="BW171" i="64"/>
  <c r="BK171" i="64"/>
  <c r="BJ171" i="64"/>
  <c r="AU171" i="64"/>
  <c r="AX171" i="64" s="1"/>
  <c r="AK171" i="64"/>
  <c r="AJ171" i="64"/>
  <c r="W171" i="64"/>
  <c r="X171" i="64" s="1"/>
  <c r="J171" i="64"/>
  <c r="K171" i="64" s="1"/>
  <c r="BW170" i="64"/>
  <c r="BJ170" i="64"/>
  <c r="AU170" i="64"/>
  <c r="AW170" i="64" s="1"/>
  <c r="AJ170" i="64"/>
  <c r="AK170" i="64" s="1"/>
  <c r="BX169" i="64"/>
  <c r="BW169" i="64"/>
  <c r="BJ169" i="64"/>
  <c r="BK169" i="64" s="1"/>
  <c r="AU169" i="64"/>
  <c r="AW169" i="64" s="1"/>
  <c r="AX169" i="64" s="1"/>
  <c r="AJ169" i="64"/>
  <c r="AK169" i="64" s="1"/>
  <c r="W169" i="64"/>
  <c r="X169" i="64" s="1"/>
  <c r="J169" i="64"/>
  <c r="K169" i="64" s="1"/>
  <c r="BW168" i="64"/>
  <c r="BX168" i="64" s="1"/>
  <c r="BK168" i="64"/>
  <c r="BI168" i="64"/>
  <c r="BJ168" i="64" s="1"/>
  <c r="AU168" i="64"/>
  <c r="AX168" i="64" s="1"/>
  <c r="AK168" i="64"/>
  <c r="AJ168" i="64"/>
  <c r="BW167" i="64"/>
  <c r="BX167" i="64" s="1"/>
  <c r="BI167" i="64"/>
  <c r="BH167" i="64"/>
  <c r="BE167" i="64"/>
  <c r="BA167" i="64"/>
  <c r="AU167" i="64"/>
  <c r="AW167" i="64" s="1"/>
  <c r="AX167" i="64" s="1"/>
  <c r="AJ167" i="64"/>
  <c r="AK167" i="64" s="1"/>
  <c r="BW166" i="64"/>
  <c r="BX166" i="64" s="1"/>
  <c r="BJ166" i="64"/>
  <c r="BK166" i="64" s="1"/>
  <c r="AU166" i="64"/>
  <c r="AW166" i="64" s="1"/>
  <c r="AX166" i="64" s="1"/>
  <c r="AJ166" i="64"/>
  <c r="AK166" i="64" s="1"/>
  <c r="W166" i="64"/>
  <c r="X166" i="64" s="1"/>
  <c r="J166" i="64"/>
  <c r="K166" i="64" s="1"/>
  <c r="BX165" i="64"/>
  <c r="BW165" i="64"/>
  <c r="BK165" i="64"/>
  <c r="BJ165" i="64"/>
  <c r="AU165" i="64"/>
  <c r="AX165" i="64" s="1"/>
  <c r="AK165" i="64"/>
  <c r="AJ165" i="64"/>
  <c r="BW164" i="64"/>
  <c r="BX164" i="64" s="1"/>
  <c r="BJ164" i="64"/>
  <c r="BK164" i="64" s="1"/>
  <c r="AU164" i="64"/>
  <c r="AJ164" i="64"/>
  <c r="AK164" i="64" s="1"/>
  <c r="W164" i="64"/>
  <c r="X164" i="64" s="1"/>
  <c r="J164" i="64"/>
  <c r="K164" i="64" s="1"/>
  <c r="BW162" i="64"/>
  <c r="BX162" i="64" s="1"/>
  <c r="BH162" i="64"/>
  <c r="BE162" i="64"/>
  <c r="BA162" i="64"/>
  <c r="AU162" i="64"/>
  <c r="AW162" i="64" s="1"/>
  <c r="AJ162" i="64"/>
  <c r="AK162" i="64" s="1"/>
  <c r="W162" i="64"/>
  <c r="X162" i="64" s="1"/>
  <c r="J162" i="64"/>
  <c r="K162" i="64" s="1"/>
  <c r="BU161" i="64"/>
  <c r="BW161" i="64" s="1"/>
  <c r="BR161" i="64"/>
  <c r="BN161" i="64"/>
  <c r="BJ161" i="64"/>
  <c r="BK161" i="64" s="1"/>
  <c r="AU161" i="64"/>
  <c r="AW161" i="64" s="1"/>
  <c r="AJ161" i="64"/>
  <c r="AK161" i="64" s="1"/>
  <c r="W161" i="64"/>
  <c r="X161" i="64" s="1"/>
  <c r="J161" i="64"/>
  <c r="K161" i="64" s="1"/>
  <c r="BX160" i="64"/>
  <c r="BJ160" i="64"/>
  <c r="BK160" i="64" s="1"/>
  <c r="AR160" i="64"/>
  <c r="AU160" i="64" s="1"/>
  <c r="AN160" i="64"/>
  <c r="AM160" i="64"/>
  <c r="AJ160" i="64"/>
  <c r="AK160" i="64" s="1"/>
  <c r="W160" i="64"/>
  <c r="X160" i="64" s="1"/>
  <c r="K160" i="64"/>
  <c r="J160" i="64"/>
  <c r="BW159" i="64"/>
  <c r="BX159" i="64" s="1"/>
  <c r="BJ159" i="64"/>
  <c r="BK159" i="64" s="1"/>
  <c r="AU159" i="64"/>
  <c r="AW159" i="64" s="1"/>
  <c r="AK159" i="64"/>
  <c r="AJ159" i="64"/>
  <c r="BX158" i="64"/>
  <c r="BW158" i="64"/>
  <c r="BK158" i="64"/>
  <c r="BJ158" i="64"/>
  <c r="AU158" i="64"/>
  <c r="AX158" i="64" s="1"/>
  <c r="AJ158" i="64"/>
  <c r="AK158" i="64" s="1"/>
  <c r="W158" i="64"/>
  <c r="X158" i="64" s="1"/>
  <c r="J158" i="64"/>
  <c r="K158" i="64" s="1"/>
  <c r="BW157" i="64"/>
  <c r="BX157" i="64" s="1"/>
  <c r="BJ157" i="64"/>
  <c r="BK157" i="64" s="1"/>
  <c r="AU157" i="64"/>
  <c r="AW157" i="64" s="1"/>
  <c r="AK157" i="64"/>
  <c r="K157" i="64"/>
  <c r="BW156" i="64"/>
  <c r="BX156" i="64" s="1"/>
  <c r="BJ156" i="64"/>
  <c r="BK156" i="64" s="1"/>
  <c r="AR156" i="64"/>
  <c r="AU156" i="64" s="1"/>
  <c r="AW156" i="64" s="1"/>
  <c r="AX156" i="64" s="1"/>
  <c r="AN156" i="64"/>
  <c r="AM156" i="64"/>
  <c r="AH156" i="64"/>
  <c r="AJ156" i="64" s="1"/>
  <c r="W156" i="64"/>
  <c r="X156" i="64" s="1"/>
  <c r="J156" i="64"/>
  <c r="K156" i="64" s="1"/>
  <c r="BW155" i="64"/>
  <c r="BJ155" i="64"/>
  <c r="AU155" i="64"/>
  <c r="AW155" i="64" s="1"/>
  <c r="BU154" i="64"/>
  <c r="BR154" i="64"/>
  <c r="BN154" i="64"/>
  <c r="BJ154" i="64"/>
  <c r="BK154" i="64" s="1"/>
  <c r="AU154" i="64"/>
  <c r="AW154" i="64" s="1"/>
  <c r="AX154" i="64" s="1"/>
  <c r="AJ154" i="64"/>
  <c r="AK154" i="64" s="1"/>
  <c r="BW153" i="64"/>
  <c r="BX153" i="64" s="1"/>
  <c r="BJ153" i="64"/>
  <c r="BK153" i="64" s="1"/>
  <c r="AU153" i="64"/>
  <c r="AW153" i="64" s="1"/>
  <c r="AX153" i="64" s="1"/>
  <c r="AJ153" i="64"/>
  <c r="AK153" i="64" s="1"/>
  <c r="K153" i="64"/>
  <c r="BX152" i="64"/>
  <c r="BW152" i="64"/>
  <c r="BK152" i="64"/>
  <c r="BJ152" i="64"/>
  <c r="AU152" i="64"/>
  <c r="AX152" i="64" s="1"/>
  <c r="AK152" i="64"/>
  <c r="AJ152" i="64"/>
  <c r="W152" i="64"/>
  <c r="X152" i="64" s="1"/>
  <c r="J152" i="64"/>
  <c r="K152" i="64" s="1"/>
  <c r="BW151" i="64"/>
  <c r="BX151" i="64" s="1"/>
  <c r="BJ151" i="64"/>
  <c r="BK151" i="64" s="1"/>
  <c r="AR151" i="64"/>
  <c r="AU151" i="64" s="1"/>
  <c r="AW151" i="64" s="1"/>
  <c r="AN151" i="64"/>
  <c r="AM151" i="64"/>
  <c r="AJ151" i="64"/>
  <c r="AK151" i="64" s="1"/>
  <c r="W151" i="64"/>
  <c r="X151" i="64" s="1"/>
  <c r="J151" i="64"/>
  <c r="K151" i="64" s="1"/>
  <c r="BW150" i="64"/>
  <c r="BX150" i="64" s="1"/>
  <c r="BJ150" i="64"/>
  <c r="BK150" i="64" s="1"/>
  <c r="AU150" i="64"/>
  <c r="AW150" i="64" s="1"/>
  <c r="AJ150" i="64"/>
  <c r="AK150" i="64" s="1"/>
  <c r="W150" i="64"/>
  <c r="X150" i="64" s="1"/>
  <c r="J150" i="64"/>
  <c r="K150" i="64" s="1"/>
  <c r="BX149" i="64"/>
  <c r="BW149" i="64"/>
  <c r="BK149" i="64"/>
  <c r="BJ149" i="64"/>
  <c r="AU149" i="64"/>
  <c r="AX149" i="64" s="1"/>
  <c r="AK149" i="64"/>
  <c r="AJ149" i="64"/>
  <c r="X149" i="64"/>
  <c r="W149" i="64"/>
  <c r="K149" i="64"/>
  <c r="J149" i="64"/>
  <c r="BW148" i="64"/>
  <c r="BX148" i="64" s="1"/>
  <c r="BJ148" i="64"/>
  <c r="BK148" i="64" s="1"/>
  <c r="AU148" i="64"/>
  <c r="AW148" i="64" s="1"/>
  <c r="AJ148" i="64"/>
  <c r="AK148" i="64" s="1"/>
  <c r="W148" i="64"/>
  <c r="X148" i="64" s="1"/>
  <c r="J148" i="64"/>
  <c r="K148" i="64" s="1"/>
  <c r="BW147" i="64"/>
  <c r="BJ147" i="64"/>
  <c r="BK147" i="64" s="1"/>
  <c r="AR147" i="64"/>
  <c r="AN147" i="64"/>
  <c r="AM147" i="64"/>
  <c r="AJ147" i="64"/>
  <c r="AK147" i="64" s="1"/>
  <c r="W147" i="64"/>
  <c r="J147" i="64"/>
  <c r="CF142" i="64"/>
  <c r="O59" i="3"/>
  <c r="BZ142" i="64"/>
  <c r="N59" i="3" s="1"/>
  <c r="BV142" i="64"/>
  <c r="BU142" i="64"/>
  <c r="BR142" i="64"/>
  <c r="L59" i="3" s="1"/>
  <c r="BN142" i="64"/>
  <c r="BM142" i="64"/>
  <c r="BI142" i="64"/>
  <c r="BH142" i="64"/>
  <c r="BF142" i="64"/>
  <c r="K59" i="3" s="1"/>
  <c r="BE142" i="64"/>
  <c r="BA142" i="64"/>
  <c r="AZ142" i="64"/>
  <c r="AV142" i="64"/>
  <c r="AS142" i="64"/>
  <c r="J59" i="3" s="1"/>
  <c r="AR142" i="64"/>
  <c r="AN142" i="64"/>
  <c r="AM142" i="64"/>
  <c r="AI142" i="64"/>
  <c r="AF142" i="64"/>
  <c r="I59" i="3" s="1"/>
  <c r="AE142" i="64"/>
  <c r="AA142" i="64"/>
  <c r="Z142" i="64"/>
  <c r="V142" i="64"/>
  <c r="U142" i="64"/>
  <c r="S142" i="64"/>
  <c r="H59" i="3" s="1"/>
  <c r="R142" i="64"/>
  <c r="P142" i="64"/>
  <c r="N142" i="64"/>
  <c r="M142" i="64"/>
  <c r="I142" i="64"/>
  <c r="H142" i="64"/>
  <c r="BW141" i="64"/>
  <c r="BX141" i="64" s="1"/>
  <c r="BJ141" i="64"/>
  <c r="BK141" i="64" s="1"/>
  <c r="AU141" i="64"/>
  <c r="AW141" i="64" s="1"/>
  <c r="AJ141" i="64"/>
  <c r="AK141" i="64" s="1"/>
  <c r="W141" i="64"/>
  <c r="X141" i="64" s="1"/>
  <c r="J141" i="64"/>
  <c r="K141" i="64" s="1"/>
  <c r="BW140" i="64"/>
  <c r="BX140" i="64" s="1"/>
  <c r="BJ140" i="64"/>
  <c r="BK140" i="64" s="1"/>
  <c r="AU140" i="64"/>
  <c r="AW140" i="64" s="1"/>
  <c r="AX140" i="64" s="1"/>
  <c r="AJ140" i="64"/>
  <c r="AK140" i="64" s="1"/>
  <c r="W140" i="64"/>
  <c r="X140" i="64" s="1"/>
  <c r="J140" i="64"/>
  <c r="K140" i="64" s="1"/>
  <c r="BX139" i="64"/>
  <c r="BW139" i="64"/>
  <c r="BK139" i="64"/>
  <c r="BJ139" i="64"/>
  <c r="AX139" i="64"/>
  <c r="AW139" i="64"/>
  <c r="BW138" i="64"/>
  <c r="BX138" i="64" s="1"/>
  <c r="BJ138" i="64"/>
  <c r="BK138" i="64" s="1"/>
  <c r="AU138" i="64"/>
  <c r="AJ138" i="64"/>
  <c r="AK138" i="64" s="1"/>
  <c r="W138" i="64"/>
  <c r="X138" i="64" s="1"/>
  <c r="J138" i="64"/>
  <c r="K138" i="64" s="1"/>
  <c r="BW137" i="64"/>
  <c r="BX137" i="64" s="1"/>
  <c r="BJ137" i="64"/>
  <c r="BK137" i="64" s="1"/>
  <c r="AU137" i="64"/>
  <c r="AW137" i="64" s="1"/>
  <c r="AJ137" i="64"/>
  <c r="AK137" i="64" s="1"/>
  <c r="W137" i="64"/>
  <c r="X137" i="64" s="1"/>
  <c r="J137" i="64"/>
  <c r="K137" i="64" s="1"/>
  <c r="BW136" i="64"/>
  <c r="BX136" i="64" s="1"/>
  <c r="BJ136" i="64"/>
  <c r="BK136" i="64" s="1"/>
  <c r="AU136" i="64"/>
  <c r="AW136" i="64" s="1"/>
  <c r="AX136" i="64" s="1"/>
  <c r="AJ136" i="64"/>
  <c r="AK136" i="64" s="1"/>
  <c r="W136" i="64"/>
  <c r="X136" i="64" s="1"/>
  <c r="J136" i="64"/>
  <c r="K136" i="64" s="1"/>
  <c r="BW135" i="64"/>
  <c r="BX135" i="64" s="1"/>
  <c r="BJ135" i="64"/>
  <c r="BK135" i="64" s="1"/>
  <c r="AU135" i="64"/>
  <c r="AJ135" i="64"/>
  <c r="AK135" i="64" s="1"/>
  <c r="W135" i="64"/>
  <c r="X135" i="64" s="1"/>
  <c r="J135" i="64"/>
  <c r="K135" i="64" s="1"/>
  <c r="BW134" i="64"/>
  <c r="BX134" i="64" s="1"/>
  <c r="BJ134" i="64"/>
  <c r="BK134" i="64" s="1"/>
  <c r="AU134" i="64"/>
  <c r="AW134" i="64" s="1"/>
  <c r="AJ134" i="64"/>
  <c r="AK134" i="64" s="1"/>
  <c r="W134" i="64"/>
  <c r="X134" i="64" s="1"/>
  <c r="J134" i="64"/>
  <c r="K134" i="64" s="1"/>
  <c r="BW133" i="64"/>
  <c r="BX133" i="64" s="1"/>
  <c r="BJ133" i="64"/>
  <c r="BK133" i="64" s="1"/>
  <c r="AU133" i="64"/>
  <c r="AW133" i="64" s="1"/>
  <c r="AX133" i="64" s="1"/>
  <c r="AJ133" i="64"/>
  <c r="AK133" i="64" s="1"/>
  <c r="W133" i="64"/>
  <c r="X133" i="64" s="1"/>
  <c r="J133" i="64"/>
  <c r="K133" i="64" s="1"/>
  <c r="BW132" i="64"/>
  <c r="BX132" i="64" s="1"/>
  <c r="BJ132" i="64"/>
  <c r="BK132" i="64" s="1"/>
  <c r="AU132" i="64"/>
  <c r="AJ132" i="64"/>
  <c r="AK132" i="64" s="1"/>
  <c r="W132" i="64"/>
  <c r="X132" i="64" s="1"/>
  <c r="J132" i="64"/>
  <c r="K132" i="64" s="1"/>
  <c r="BX131" i="64"/>
  <c r="BW131" i="64"/>
  <c r="BK131" i="64"/>
  <c r="BJ131" i="64"/>
  <c r="AU131" i="64"/>
  <c r="AW131" i="64" s="1"/>
  <c r="AK131" i="64"/>
  <c r="AJ131" i="64"/>
  <c r="W131" i="64"/>
  <c r="X131" i="64" s="1"/>
  <c r="K131" i="64"/>
  <c r="J131" i="64"/>
  <c r="BW129" i="64"/>
  <c r="BJ129" i="64"/>
  <c r="BK129" i="64" s="1"/>
  <c r="AU129" i="64"/>
  <c r="AJ129" i="64"/>
  <c r="AK129" i="64" s="1"/>
  <c r="W129" i="64"/>
  <c r="J129" i="64"/>
  <c r="K129" i="64" s="1"/>
  <c r="CF125" i="64"/>
  <c r="O56" i="3"/>
  <c r="BZ125" i="64"/>
  <c r="N56" i="3" s="1"/>
  <c r="BV125" i="64"/>
  <c r="BU125" i="64"/>
  <c r="BR125" i="64"/>
  <c r="L56" i="3" s="1"/>
  <c r="BN125" i="64"/>
  <c r="BM125" i="64"/>
  <c r="BI125" i="64"/>
  <c r="BH125" i="64"/>
  <c r="BF125" i="64"/>
  <c r="K56" i="3" s="1"/>
  <c r="BE125" i="64"/>
  <c r="BA125" i="64"/>
  <c r="AZ125" i="64"/>
  <c r="AV125" i="64"/>
  <c r="AS125" i="64"/>
  <c r="J56" i="3" s="1"/>
  <c r="AR125" i="64"/>
  <c r="AN125" i="64"/>
  <c r="AM125" i="64"/>
  <c r="AI125" i="64"/>
  <c r="AF125" i="64"/>
  <c r="I56" i="3" s="1"/>
  <c r="AE125" i="64"/>
  <c r="AA125" i="64"/>
  <c r="Z125" i="64"/>
  <c r="V125" i="64"/>
  <c r="P125" i="64"/>
  <c r="M125" i="64"/>
  <c r="I125" i="64"/>
  <c r="H125" i="64"/>
  <c r="BX124" i="64"/>
  <c r="BW124" i="64"/>
  <c r="BJ124" i="64"/>
  <c r="BK124" i="64" s="1"/>
  <c r="AU124" i="64"/>
  <c r="AW124" i="64" s="1"/>
  <c r="AJ124" i="64"/>
  <c r="AK124" i="64" s="1"/>
  <c r="X124" i="64"/>
  <c r="W124" i="64"/>
  <c r="K124" i="64"/>
  <c r="J124" i="64"/>
  <c r="BW123" i="64"/>
  <c r="BJ123" i="64"/>
  <c r="BK123" i="64" s="1"/>
  <c r="AU123" i="64"/>
  <c r="AW123" i="64" s="1"/>
  <c r="AJ123" i="64"/>
  <c r="AK123" i="64" s="1"/>
  <c r="U123" i="64"/>
  <c r="W123" i="64" s="1"/>
  <c r="S123" i="64"/>
  <c r="S125" i="64" s="1"/>
  <c r="H56" i="3" s="1"/>
  <c r="R123" i="64"/>
  <c r="R125" i="64" s="1"/>
  <c r="N123" i="64"/>
  <c r="N125" i="64" s="1"/>
  <c r="J123" i="64"/>
  <c r="K123" i="64" s="1"/>
  <c r="BW122" i="64"/>
  <c r="BX122" i="64" s="1"/>
  <c r="BJ122" i="64"/>
  <c r="AU122" i="64"/>
  <c r="AW122" i="64" s="1"/>
  <c r="AJ122" i="64"/>
  <c r="W122" i="64"/>
  <c r="X122" i="64" s="1"/>
  <c r="J122" i="64"/>
  <c r="CF120" i="64"/>
  <c r="CF127" i="64" s="1"/>
  <c r="O55" i="3"/>
  <c r="O57" i="3" s="1"/>
  <c r="BZ120" i="64"/>
  <c r="N55" i="3" s="1"/>
  <c r="BV120" i="64"/>
  <c r="BU120" i="64"/>
  <c r="BR120" i="64"/>
  <c r="BN120" i="64"/>
  <c r="BM120" i="64"/>
  <c r="BI120" i="64"/>
  <c r="BH120" i="64"/>
  <c r="BF120" i="64"/>
  <c r="K55" i="3" s="1"/>
  <c r="BE120" i="64"/>
  <c r="BE127" i="64" s="1"/>
  <c r="BA120" i="64"/>
  <c r="AZ120" i="64"/>
  <c r="AV120" i="64"/>
  <c r="AS120" i="64"/>
  <c r="J55" i="3" s="1"/>
  <c r="AR120" i="64"/>
  <c r="AN120" i="64"/>
  <c r="AM120" i="64"/>
  <c r="AI120" i="64"/>
  <c r="AF120" i="64"/>
  <c r="I55" i="3" s="1"/>
  <c r="AE120" i="64"/>
  <c r="AA120" i="64"/>
  <c r="Z120" i="64"/>
  <c r="Z127" i="64" s="1"/>
  <c r="V120" i="64"/>
  <c r="U120" i="64"/>
  <c r="S120" i="64"/>
  <c r="H55" i="3" s="1"/>
  <c r="R120" i="64"/>
  <c r="P120" i="64"/>
  <c r="N120" i="64"/>
  <c r="M120" i="64"/>
  <c r="I120" i="64"/>
  <c r="H120" i="64"/>
  <c r="BX119" i="64"/>
  <c r="BW119" i="64"/>
  <c r="BK119" i="64"/>
  <c r="BJ119" i="64"/>
  <c r="AU119" i="64"/>
  <c r="AJ119" i="64"/>
  <c r="W119" i="64"/>
  <c r="X119" i="64" s="1"/>
  <c r="J119" i="64"/>
  <c r="K119" i="64" s="1"/>
  <c r="BW118" i="64"/>
  <c r="BJ118" i="64"/>
  <c r="BK118" i="64" s="1"/>
  <c r="AU118" i="64"/>
  <c r="AU120" i="64" s="1"/>
  <c r="AJ118" i="64"/>
  <c r="AK118" i="64" s="1"/>
  <c r="W118" i="64"/>
  <c r="X118" i="64" s="1"/>
  <c r="J118" i="64"/>
  <c r="K118" i="64" s="1"/>
  <c r="CF113" i="64"/>
  <c r="O50" i="3"/>
  <c r="BZ113" i="64"/>
  <c r="N50" i="3" s="1"/>
  <c r="BV113" i="64"/>
  <c r="BS113" i="64"/>
  <c r="BS115" i="64" s="1"/>
  <c r="BS281" i="64" s="1"/>
  <c r="BM113" i="64"/>
  <c r="BI113" i="64"/>
  <c r="BF113" i="64"/>
  <c r="K50" i="3" s="1"/>
  <c r="AZ113" i="64"/>
  <c r="AV113" i="64"/>
  <c r="AS113" i="64"/>
  <c r="J50" i="3" s="1"/>
  <c r="AR113" i="64"/>
  <c r="AN113" i="64"/>
  <c r="AM113" i="64"/>
  <c r="AI113" i="64"/>
  <c r="AH113" i="64"/>
  <c r="AF113" i="64"/>
  <c r="I50" i="3" s="1"/>
  <c r="AE113" i="64"/>
  <c r="AA113" i="64"/>
  <c r="Z113" i="64"/>
  <c r="V113" i="64"/>
  <c r="U113" i="64"/>
  <c r="S113" i="64"/>
  <c r="H50" i="3" s="1"/>
  <c r="R113" i="64"/>
  <c r="P113" i="64"/>
  <c r="N113" i="64"/>
  <c r="M113" i="64"/>
  <c r="I113" i="64"/>
  <c r="H113" i="64"/>
  <c r="BW112" i="64"/>
  <c r="BX112" i="64" s="1"/>
  <c r="BJ112" i="64"/>
  <c r="BK112" i="64" s="1"/>
  <c r="AU112" i="64"/>
  <c r="AJ112" i="64"/>
  <c r="AK112" i="64" s="1"/>
  <c r="W112" i="64"/>
  <c r="X112" i="64" s="1"/>
  <c r="J112" i="64"/>
  <c r="K112" i="64" s="1"/>
  <c r="BW111" i="64"/>
  <c r="BX111" i="64" s="1"/>
  <c r="BJ111" i="64"/>
  <c r="BK111" i="64" s="1"/>
  <c r="AU111" i="64"/>
  <c r="AW111" i="64" s="1"/>
  <c r="AX111" i="64" s="1"/>
  <c r="AJ111" i="64"/>
  <c r="AK111" i="64" s="1"/>
  <c r="W111" i="64"/>
  <c r="X111" i="64" s="1"/>
  <c r="J111" i="64"/>
  <c r="K111" i="64" s="1"/>
  <c r="BW110" i="64"/>
  <c r="BX110" i="64" s="1"/>
  <c r="BH110" i="64"/>
  <c r="BE110" i="64"/>
  <c r="BA110" i="64"/>
  <c r="AU110" i="64"/>
  <c r="AW110" i="64" s="1"/>
  <c r="AX110" i="64" s="1"/>
  <c r="AJ110" i="64"/>
  <c r="AK110" i="64" s="1"/>
  <c r="W110" i="64"/>
  <c r="X110" i="64" s="1"/>
  <c r="J110" i="64"/>
  <c r="K110" i="64" s="1"/>
  <c r="BW109" i="64"/>
  <c r="BX109" i="64" s="1"/>
  <c r="BJ109" i="64"/>
  <c r="BK109" i="64" s="1"/>
  <c r="AU109" i="64"/>
  <c r="AJ109" i="64"/>
  <c r="AK109" i="64" s="1"/>
  <c r="W109" i="64"/>
  <c r="X109" i="64" s="1"/>
  <c r="J109" i="64"/>
  <c r="K109" i="64" s="1"/>
  <c r="BX108" i="64"/>
  <c r="BW108" i="64"/>
  <c r="BJ108" i="64"/>
  <c r="BK108" i="64" s="1"/>
  <c r="AU108" i="64"/>
  <c r="AW108" i="64" s="1"/>
  <c r="AJ108" i="64"/>
  <c r="AK108" i="64" s="1"/>
  <c r="W108" i="64"/>
  <c r="X108" i="64" s="1"/>
  <c r="J108" i="64"/>
  <c r="K108" i="64" s="1"/>
  <c r="BW107" i="64"/>
  <c r="BX107" i="64" s="1"/>
  <c r="BJ107" i="64"/>
  <c r="BK107" i="64" s="1"/>
  <c r="AU107" i="64"/>
  <c r="AW107" i="64" s="1"/>
  <c r="AX107" i="64" s="1"/>
  <c r="AJ107" i="64"/>
  <c r="AK107" i="64" s="1"/>
  <c r="W107" i="64"/>
  <c r="X107" i="64" s="1"/>
  <c r="J107" i="64"/>
  <c r="K107" i="64" s="1"/>
  <c r="BW106" i="64"/>
  <c r="BX106" i="64" s="1"/>
  <c r="BK106" i="64"/>
  <c r="BJ106" i="64"/>
  <c r="AX106" i="64"/>
  <c r="AW106" i="64"/>
  <c r="BW105" i="64"/>
  <c r="BX105" i="64" s="1"/>
  <c r="BJ105" i="64"/>
  <c r="BK105" i="64" s="1"/>
  <c r="AU105" i="64"/>
  <c r="AJ105" i="64"/>
  <c r="AK105" i="64" s="1"/>
  <c r="W105" i="64"/>
  <c r="X105" i="64" s="1"/>
  <c r="J105" i="64"/>
  <c r="K105" i="64" s="1"/>
  <c r="BW104" i="64"/>
  <c r="BX104" i="64" s="1"/>
  <c r="BH104" i="64"/>
  <c r="BJ104" i="64" s="1"/>
  <c r="BK104" i="64" s="1"/>
  <c r="BE104" i="64"/>
  <c r="BA104" i="64"/>
  <c r="AU104" i="64"/>
  <c r="AW104" i="64" s="1"/>
  <c r="AX104" i="64" s="1"/>
  <c r="AJ104" i="64"/>
  <c r="AK104" i="64" s="1"/>
  <c r="W104" i="64"/>
  <c r="X104" i="64" s="1"/>
  <c r="J104" i="64"/>
  <c r="K104" i="64" s="1"/>
  <c r="BW102" i="64"/>
  <c r="BJ102" i="64"/>
  <c r="BU101" i="64"/>
  <c r="BU113" i="64" s="1"/>
  <c r="BR101" i="64"/>
  <c r="BR113" i="64" s="1"/>
  <c r="L50" i="3" s="1"/>
  <c r="BN101" i="64"/>
  <c r="BN113" i="64" s="1"/>
  <c r="BJ101" i="64"/>
  <c r="BK101" i="64" s="1"/>
  <c r="AU101" i="64"/>
  <c r="AW101" i="64" s="1"/>
  <c r="AX101" i="64" s="1"/>
  <c r="AJ101" i="64"/>
  <c r="AK101" i="64" s="1"/>
  <c r="W101" i="64"/>
  <c r="X101" i="64" s="1"/>
  <c r="J101" i="64"/>
  <c r="K101" i="64" s="1"/>
  <c r="BW100" i="64"/>
  <c r="BJ100" i="64"/>
  <c r="BK100" i="64" s="1"/>
  <c r="AU100" i="64"/>
  <c r="AW100" i="64" s="1"/>
  <c r="AJ100" i="64"/>
  <c r="CF96" i="64"/>
  <c r="O47" i="3"/>
  <c r="BZ96" i="64"/>
  <c r="N47" i="3" s="1"/>
  <c r="BV96" i="64"/>
  <c r="BU96" i="64"/>
  <c r="BR96" i="64"/>
  <c r="L47" i="3" s="1"/>
  <c r="BN96" i="64"/>
  <c r="BM96" i="64"/>
  <c r="BI96" i="64"/>
  <c r="BH96" i="64"/>
  <c r="BF96" i="64"/>
  <c r="K47" i="3" s="1"/>
  <c r="BE96" i="64"/>
  <c r="BA96" i="64"/>
  <c r="AZ96" i="64"/>
  <c r="AV96" i="64"/>
  <c r="AS96" i="64"/>
  <c r="J47" i="3" s="1"/>
  <c r="AR96" i="64"/>
  <c r="AN96" i="64"/>
  <c r="AM96" i="64"/>
  <c r="AI96" i="64"/>
  <c r="AF96" i="64"/>
  <c r="I47" i="3" s="1"/>
  <c r="AE96" i="64"/>
  <c r="AA96" i="64"/>
  <c r="Z96" i="64"/>
  <c r="V96" i="64"/>
  <c r="U96" i="64"/>
  <c r="S96" i="64"/>
  <c r="H47" i="3" s="1"/>
  <c r="R96" i="64"/>
  <c r="P96" i="64"/>
  <c r="N96" i="64"/>
  <c r="M96" i="64"/>
  <c r="I96" i="64"/>
  <c r="H96" i="64"/>
  <c r="BX95" i="64"/>
  <c r="BW95" i="64"/>
  <c r="BK95" i="64"/>
  <c r="BJ95" i="64"/>
  <c r="AU95" i="64"/>
  <c r="AW95" i="64" s="1"/>
  <c r="AJ95" i="64"/>
  <c r="AK95" i="64" s="1"/>
  <c r="W95" i="64"/>
  <c r="X95" i="64" s="1"/>
  <c r="J95" i="64"/>
  <c r="K95" i="64" s="1"/>
  <c r="BW94" i="64"/>
  <c r="BJ94" i="64"/>
  <c r="BK94" i="64" s="1"/>
  <c r="AU94" i="64"/>
  <c r="AW94" i="64" s="1"/>
  <c r="AJ94" i="64"/>
  <c r="AK94" i="64" s="1"/>
  <c r="W94" i="64"/>
  <c r="J94" i="64"/>
  <c r="K94" i="64" s="1"/>
  <c r="CF92" i="64"/>
  <c r="CF98" i="64" s="1"/>
  <c r="O46" i="3"/>
  <c r="BZ92" i="64"/>
  <c r="BV92" i="64"/>
  <c r="BU92" i="64"/>
  <c r="BR92" i="64"/>
  <c r="BN92" i="64"/>
  <c r="BN98" i="64" s="1"/>
  <c r="BM92" i="64"/>
  <c r="BI92" i="64"/>
  <c r="BH92" i="64"/>
  <c r="BF92" i="64"/>
  <c r="BE92" i="64"/>
  <c r="BA92" i="64"/>
  <c r="BA98" i="64" s="1"/>
  <c r="AZ92" i="64"/>
  <c r="AV92" i="64"/>
  <c r="AV98" i="64" s="1"/>
  <c r="AS92" i="64"/>
  <c r="J46" i="3" s="1"/>
  <c r="AR92" i="64"/>
  <c r="AR98" i="64" s="1"/>
  <c r="AN92" i="64"/>
  <c r="AM92" i="64"/>
  <c r="AI92" i="64"/>
  <c r="AI98" i="64" s="1"/>
  <c r="AF92" i="64"/>
  <c r="I46" i="3" s="1"/>
  <c r="I48" i="3" s="1"/>
  <c r="AE92" i="64"/>
  <c r="AA92" i="64"/>
  <c r="AA98" i="64" s="1"/>
  <c r="Z92" i="64"/>
  <c r="Z98" i="64" s="1"/>
  <c r="V92" i="64"/>
  <c r="V98" i="64" s="1"/>
  <c r="U92" i="64"/>
  <c r="S92" i="64"/>
  <c r="H46" i="3" s="1"/>
  <c r="R92" i="64"/>
  <c r="P92" i="64"/>
  <c r="N92" i="64"/>
  <c r="N98" i="64" s="1"/>
  <c r="M92" i="64"/>
  <c r="M98" i="64" s="1"/>
  <c r="I92" i="64"/>
  <c r="I98" i="64" s="1"/>
  <c r="H92" i="64"/>
  <c r="BW91" i="64"/>
  <c r="BX91" i="64" s="1"/>
  <c r="BJ91" i="64"/>
  <c r="BK91" i="64" s="1"/>
  <c r="AU91" i="64"/>
  <c r="AW91" i="64" s="1"/>
  <c r="AJ91" i="64"/>
  <c r="AK91" i="64" s="1"/>
  <c r="W91" i="64"/>
  <c r="J91" i="64"/>
  <c r="K91" i="64" s="1"/>
  <c r="BW90" i="64"/>
  <c r="BX90" i="64" s="1"/>
  <c r="BJ90" i="64"/>
  <c r="BK90" i="64" s="1"/>
  <c r="AU90" i="64"/>
  <c r="AJ90" i="64"/>
  <c r="AJ92" i="64" s="1"/>
  <c r="AK92" i="64" s="1"/>
  <c r="W90" i="64"/>
  <c r="X90" i="64" s="1"/>
  <c r="J90" i="64"/>
  <c r="CF85" i="64"/>
  <c r="O41" i="3"/>
  <c r="BZ85" i="64"/>
  <c r="N41" i="3" s="1"/>
  <c r="BV85" i="64"/>
  <c r="BM85" i="64"/>
  <c r="BI85" i="64"/>
  <c r="BF85" i="64"/>
  <c r="K41" i="3" s="1"/>
  <c r="AZ85" i="64"/>
  <c r="AV85" i="64"/>
  <c r="AS85" i="64"/>
  <c r="J41" i="3" s="1"/>
  <c r="AR85" i="64"/>
  <c r="AN85" i="64"/>
  <c r="AM85" i="64"/>
  <c r="AI85" i="64"/>
  <c r="AF85" i="64"/>
  <c r="I41" i="3" s="1"/>
  <c r="Z85" i="64"/>
  <c r="V85" i="64"/>
  <c r="U85" i="64"/>
  <c r="S85" i="64"/>
  <c r="H41" i="3" s="1"/>
  <c r="R85" i="64"/>
  <c r="P85" i="64"/>
  <c r="N85" i="64"/>
  <c r="M85" i="64"/>
  <c r="I85" i="64"/>
  <c r="H85" i="64"/>
  <c r="BW84" i="64"/>
  <c r="BX84" i="64" s="1"/>
  <c r="BJ84" i="64"/>
  <c r="BK84" i="64" s="1"/>
  <c r="AU84" i="64"/>
  <c r="AW84" i="64" s="1"/>
  <c r="AX84" i="64" s="1"/>
  <c r="AJ84" i="64"/>
  <c r="AK84" i="64" s="1"/>
  <c r="W84" i="64"/>
  <c r="X84" i="64" s="1"/>
  <c r="J84" i="64"/>
  <c r="K84" i="64" s="1"/>
  <c r="BW83" i="64"/>
  <c r="BX83" i="64" s="1"/>
  <c r="BJ83" i="64"/>
  <c r="BK83" i="64" s="1"/>
  <c r="AU83" i="64"/>
  <c r="AJ83" i="64"/>
  <c r="AK83" i="64" s="1"/>
  <c r="W83" i="64"/>
  <c r="X83" i="64" s="1"/>
  <c r="J83" i="64"/>
  <c r="K83" i="64" s="1"/>
  <c r="BW82" i="64"/>
  <c r="BX82" i="64" s="1"/>
  <c r="BJ82" i="64"/>
  <c r="BK82" i="64" s="1"/>
  <c r="AU82" i="64"/>
  <c r="AW82" i="64" s="1"/>
  <c r="AJ82" i="64"/>
  <c r="AK82" i="64" s="1"/>
  <c r="W82" i="64"/>
  <c r="X82" i="64" s="1"/>
  <c r="J82" i="64"/>
  <c r="K82" i="64" s="1"/>
  <c r="BW81" i="64"/>
  <c r="BX81" i="64" s="1"/>
  <c r="BJ81" i="64"/>
  <c r="BK81" i="64" s="1"/>
  <c r="AU81" i="64"/>
  <c r="AW81" i="64" s="1"/>
  <c r="AX81" i="64" s="1"/>
  <c r="AJ81" i="64"/>
  <c r="AK81" i="64" s="1"/>
  <c r="W81" i="64"/>
  <c r="X81" i="64" s="1"/>
  <c r="J81" i="64"/>
  <c r="K81" i="64" s="1"/>
  <c r="BW80" i="64"/>
  <c r="BX80" i="64" s="1"/>
  <c r="BJ80" i="64"/>
  <c r="BK80" i="64" s="1"/>
  <c r="AU80" i="64"/>
  <c r="AJ80" i="64"/>
  <c r="AK80" i="64" s="1"/>
  <c r="W80" i="64"/>
  <c r="X80" i="64" s="1"/>
  <c r="K80" i="64"/>
  <c r="J80" i="64"/>
  <c r="BU79" i="64"/>
  <c r="BR79" i="64"/>
  <c r="BR85" i="64" s="1"/>
  <c r="L41" i="3" s="1"/>
  <c r="BN79" i="64"/>
  <c r="BN85" i="64" s="1"/>
  <c r="BH79" i="64"/>
  <c r="BJ79" i="64" s="1"/>
  <c r="BK79" i="64" s="1"/>
  <c r="BE79" i="64"/>
  <c r="BE85" i="64" s="1"/>
  <c r="BA79" i="64"/>
  <c r="BA85" i="64" s="1"/>
  <c r="AU79" i="64"/>
  <c r="AW79" i="64" s="1"/>
  <c r="AX79" i="64" s="1"/>
  <c r="AJ79" i="64"/>
  <c r="AE79" i="64"/>
  <c r="AE85" i="64" s="1"/>
  <c r="AA79" i="64"/>
  <c r="AA85" i="64" s="1"/>
  <c r="W79" i="64"/>
  <c r="X79" i="64" s="1"/>
  <c r="J79" i="64"/>
  <c r="BW78" i="64"/>
  <c r="BX78" i="64" s="1"/>
  <c r="BJ78" i="64"/>
  <c r="BK78" i="64" s="1"/>
  <c r="AU78" i="64"/>
  <c r="CF74" i="64"/>
  <c r="O38" i="3"/>
  <c r="BZ74" i="64"/>
  <c r="N38" i="3" s="1"/>
  <c r="BV74" i="64"/>
  <c r="BM74" i="64"/>
  <c r="BI74" i="64"/>
  <c r="BH74" i="64"/>
  <c r="BF74" i="64"/>
  <c r="K38" i="3" s="1"/>
  <c r="BE74" i="64"/>
  <c r="BA74" i="64"/>
  <c r="AZ74" i="64"/>
  <c r="AV74" i="64"/>
  <c r="AS74" i="64"/>
  <c r="J38" i="3" s="1"/>
  <c r="AR74" i="64"/>
  <c r="AN74" i="64"/>
  <c r="AM74" i="64"/>
  <c r="AI74" i="64"/>
  <c r="AF74" i="64"/>
  <c r="I38" i="3" s="1"/>
  <c r="AE74" i="64"/>
  <c r="AA74" i="64"/>
  <c r="Z74" i="64"/>
  <c r="V74" i="64"/>
  <c r="U74" i="64"/>
  <c r="S74" i="64"/>
  <c r="H38" i="3" s="1"/>
  <c r="R74" i="64"/>
  <c r="P74" i="64"/>
  <c r="N74" i="64"/>
  <c r="M74" i="64"/>
  <c r="I74" i="64"/>
  <c r="H74" i="64"/>
  <c r="BU73" i="64"/>
  <c r="BU74" i="64" s="1"/>
  <c r="BR73" i="64"/>
  <c r="BR74" i="64" s="1"/>
  <c r="L38" i="3" s="1"/>
  <c r="BN73" i="64"/>
  <c r="BN74" i="64" s="1"/>
  <c r="BJ73" i="64"/>
  <c r="AU73" i="64"/>
  <c r="AJ73" i="64"/>
  <c r="AK73" i="64" s="1"/>
  <c r="W73" i="64"/>
  <c r="W74" i="64" s="1"/>
  <c r="J73" i="64"/>
  <c r="CF71" i="64"/>
  <c r="BZ71" i="64"/>
  <c r="N37" i="3" s="1"/>
  <c r="BV71" i="64"/>
  <c r="BU71" i="64"/>
  <c r="BR71" i="64"/>
  <c r="L37" i="3" s="1"/>
  <c r="BN71" i="64"/>
  <c r="BM71" i="64"/>
  <c r="BI71" i="64"/>
  <c r="BH71" i="64"/>
  <c r="BF71" i="64"/>
  <c r="K37" i="3" s="1"/>
  <c r="BE71" i="64"/>
  <c r="BA71" i="64"/>
  <c r="AZ71" i="64"/>
  <c r="AV71" i="64"/>
  <c r="AS71" i="64"/>
  <c r="J37" i="3" s="1"/>
  <c r="AR71" i="64"/>
  <c r="AN71" i="64"/>
  <c r="AM71" i="64"/>
  <c r="AI71" i="64"/>
  <c r="AF71" i="64"/>
  <c r="I37" i="3" s="1"/>
  <c r="AE71" i="64"/>
  <c r="AA71" i="64"/>
  <c r="Z71" i="64"/>
  <c r="V71" i="64"/>
  <c r="U71" i="64"/>
  <c r="S71" i="64"/>
  <c r="H37" i="3" s="1"/>
  <c r="R71" i="64"/>
  <c r="P71" i="64"/>
  <c r="N71" i="64"/>
  <c r="M71" i="64"/>
  <c r="I71" i="64"/>
  <c r="H71" i="64"/>
  <c r="BW70" i="64"/>
  <c r="BX70" i="64" s="1"/>
  <c r="BJ70" i="64"/>
  <c r="AU70" i="64"/>
  <c r="AJ70" i="64"/>
  <c r="AK70" i="64" s="1"/>
  <c r="W70" i="64"/>
  <c r="W71" i="64" s="1"/>
  <c r="J70" i="64"/>
  <c r="K70" i="64" s="1"/>
  <c r="CF65" i="64"/>
  <c r="O32" i="3"/>
  <c r="BZ65" i="64"/>
  <c r="N32" i="3" s="1"/>
  <c r="BV65" i="64"/>
  <c r="BU65" i="64"/>
  <c r="BR65" i="64"/>
  <c r="L32" i="3" s="1"/>
  <c r="BN65" i="64"/>
  <c r="BM65" i="64"/>
  <c r="BI65" i="64"/>
  <c r="BH65" i="64"/>
  <c r="BF65" i="64"/>
  <c r="K32" i="3" s="1"/>
  <c r="BE65" i="64"/>
  <c r="BA65" i="64"/>
  <c r="AZ65" i="64"/>
  <c r="AV65" i="64"/>
  <c r="AS65" i="64"/>
  <c r="J32" i="3" s="1"/>
  <c r="AR65" i="64"/>
  <c r="AN65" i="64"/>
  <c r="AM65" i="64"/>
  <c r="AI65" i="64"/>
  <c r="AF65" i="64"/>
  <c r="I32" i="3" s="1"/>
  <c r="AE65" i="64"/>
  <c r="AA65" i="64"/>
  <c r="Z65" i="64"/>
  <c r="V65" i="64"/>
  <c r="U65" i="64"/>
  <c r="S65" i="64"/>
  <c r="H32" i="3" s="1"/>
  <c r="R65" i="64"/>
  <c r="N65" i="64"/>
  <c r="M65" i="64"/>
  <c r="I65" i="64"/>
  <c r="H65" i="64"/>
  <c r="K65" i="64" s="1"/>
  <c r="BW64" i="64"/>
  <c r="BJ64" i="64"/>
  <c r="BK64" i="64" s="1"/>
  <c r="AU64" i="64"/>
  <c r="AJ64" i="64"/>
  <c r="AJ65" i="64" s="1"/>
  <c r="AK65" i="64" s="1"/>
  <c r="W64" i="64"/>
  <c r="K64" i="64"/>
  <c r="J64" i="64"/>
  <c r="J65" i="64" s="1"/>
  <c r="CF62" i="64"/>
  <c r="O30" i="3"/>
  <c r="BZ62" i="64"/>
  <c r="N30" i="3" s="1"/>
  <c r="BV62" i="64"/>
  <c r="BU62" i="64"/>
  <c r="BR62" i="64"/>
  <c r="L30" i="3" s="1"/>
  <c r="BN62" i="64"/>
  <c r="BM62" i="64"/>
  <c r="BI62" i="64"/>
  <c r="BH62" i="64"/>
  <c r="BF62" i="64"/>
  <c r="K30" i="3" s="1"/>
  <c r="BE62" i="64"/>
  <c r="BA62" i="64"/>
  <c r="AZ62" i="64"/>
  <c r="AV62" i="64"/>
  <c r="AS62" i="64"/>
  <c r="J30" i="3" s="1"/>
  <c r="AR62" i="64"/>
  <c r="AN62" i="64"/>
  <c r="AM62" i="64"/>
  <c r="AI62" i="64"/>
  <c r="AF62" i="64"/>
  <c r="I30" i="3" s="1"/>
  <c r="AE62" i="64"/>
  <c r="AA62" i="64"/>
  <c r="Z62" i="64"/>
  <c r="V62" i="64"/>
  <c r="U62" i="64"/>
  <c r="T62" i="64"/>
  <c r="S62" i="64"/>
  <c r="H30" i="3" s="1"/>
  <c r="R62" i="64"/>
  <c r="N62" i="64"/>
  <c r="M62" i="64"/>
  <c r="I62" i="64"/>
  <c r="H62" i="64"/>
  <c r="BW61" i="64"/>
  <c r="BX61" i="64" s="1"/>
  <c r="BJ61" i="64"/>
  <c r="BK61" i="64" s="1"/>
  <c r="AU61" i="64"/>
  <c r="AJ61" i="64"/>
  <c r="AK61" i="64" s="1"/>
  <c r="W61" i="64"/>
  <c r="X61" i="64" s="1"/>
  <c r="J61" i="64"/>
  <c r="K61" i="64" s="1"/>
  <c r="BW60" i="64"/>
  <c r="BX60" i="64" s="1"/>
  <c r="BJ60" i="64"/>
  <c r="BK60" i="64" s="1"/>
  <c r="AU60" i="64"/>
  <c r="AW60" i="64" s="1"/>
  <c r="AJ60" i="64"/>
  <c r="AK60" i="64" s="1"/>
  <c r="W60" i="64"/>
  <c r="X60" i="64" s="1"/>
  <c r="J60" i="64"/>
  <c r="K60" i="64" s="1"/>
  <c r="BX59" i="64"/>
  <c r="BW59" i="64"/>
  <c r="BK59" i="64"/>
  <c r="BJ59" i="64"/>
  <c r="AU59" i="64"/>
  <c r="AW59" i="64" s="1"/>
  <c r="AX59" i="64" s="1"/>
  <c r="AJ59" i="64"/>
  <c r="AK59" i="64" s="1"/>
  <c r="W59" i="64"/>
  <c r="X59" i="64" s="1"/>
  <c r="J59" i="64"/>
  <c r="K59" i="64" s="1"/>
  <c r="BX58" i="64"/>
  <c r="BW58" i="64"/>
  <c r="BK58" i="64"/>
  <c r="BJ58" i="64"/>
  <c r="AU58" i="64"/>
  <c r="AJ58" i="64"/>
  <c r="AK58" i="64" s="1"/>
  <c r="W58" i="64"/>
  <c r="X58" i="64" s="1"/>
  <c r="J58" i="64"/>
  <c r="K58" i="64" s="1"/>
  <c r="CF56" i="64"/>
  <c r="O27" i="3"/>
  <c r="O28" i="3" s="1"/>
  <c r="BZ56" i="64"/>
  <c r="N27" i="3" s="1"/>
  <c r="BV56" i="64"/>
  <c r="BU56" i="64"/>
  <c r="BR56" i="64"/>
  <c r="L27" i="3" s="1"/>
  <c r="L28" i="3" s="1"/>
  <c r="BN56" i="64"/>
  <c r="BM56" i="64"/>
  <c r="BI56" i="64"/>
  <c r="BH56" i="64"/>
  <c r="BF56" i="64"/>
  <c r="K27" i="3" s="1"/>
  <c r="K28" i="3" s="1"/>
  <c r="BE56" i="64"/>
  <c r="BA56" i="64"/>
  <c r="AZ56" i="64"/>
  <c r="AV56" i="64"/>
  <c r="AS56" i="64"/>
  <c r="J27" i="3" s="1"/>
  <c r="J28" i="3" s="1"/>
  <c r="AR56" i="64"/>
  <c r="AN56" i="64"/>
  <c r="AM56" i="64"/>
  <c r="AI56" i="64"/>
  <c r="AF56" i="64"/>
  <c r="I27" i="3" s="1"/>
  <c r="I28" i="3" s="1"/>
  <c r="AE56" i="64"/>
  <c r="AA56" i="64"/>
  <c r="Z56" i="64"/>
  <c r="V56" i="64"/>
  <c r="U56" i="64"/>
  <c r="S56" i="64"/>
  <c r="H27" i="3" s="1"/>
  <c r="R56" i="64"/>
  <c r="P56" i="64"/>
  <c r="N56" i="64"/>
  <c r="M56" i="64"/>
  <c r="I56" i="64"/>
  <c r="H56" i="64"/>
  <c r="BW55" i="64"/>
  <c r="BW56" i="64" s="1"/>
  <c r="M27" i="3" s="1"/>
  <c r="M28" i="3" s="1"/>
  <c r="BJ55" i="64"/>
  <c r="AU55" i="64"/>
  <c r="AJ55" i="64"/>
  <c r="AJ56" i="64" s="1"/>
  <c r="AK56" i="64" s="1"/>
  <c r="W55" i="64"/>
  <c r="W56" i="64" s="1"/>
  <c r="J55" i="64"/>
  <c r="K55" i="64" s="1"/>
  <c r="CF50" i="64"/>
  <c r="CF52" i="64" s="1"/>
  <c r="BZ50" i="64"/>
  <c r="BV50" i="64"/>
  <c r="BV52" i="64" s="1"/>
  <c r="BU50" i="64"/>
  <c r="BR50" i="64"/>
  <c r="BN50" i="64"/>
  <c r="BN52" i="64" s="1"/>
  <c r="BM50" i="64"/>
  <c r="BM52" i="64" s="1"/>
  <c r="BI50" i="64"/>
  <c r="BI52" i="64" s="1"/>
  <c r="BH50" i="64"/>
  <c r="BH52" i="64" s="1"/>
  <c r="BF50" i="64"/>
  <c r="BE50" i="64"/>
  <c r="BE52" i="64" s="1"/>
  <c r="BA50" i="64"/>
  <c r="BA52" i="64" s="1"/>
  <c r="AZ50" i="64"/>
  <c r="AZ52" i="64" s="1"/>
  <c r="AV50" i="64"/>
  <c r="AV52" i="64" s="1"/>
  <c r="AS50" i="64"/>
  <c r="AR50" i="64"/>
  <c r="AR52" i="64" s="1"/>
  <c r="AN50" i="64"/>
  <c r="AN52" i="64" s="1"/>
  <c r="AM50" i="64"/>
  <c r="AM52" i="64" s="1"/>
  <c r="AI50" i="64"/>
  <c r="AI52" i="64" s="1"/>
  <c r="AF50" i="64"/>
  <c r="AE50" i="64"/>
  <c r="AE52" i="64" s="1"/>
  <c r="AA50" i="64"/>
  <c r="AA52" i="64" s="1"/>
  <c r="Z50" i="64"/>
  <c r="Z52" i="64" s="1"/>
  <c r="V50" i="64"/>
  <c r="V52" i="64" s="1"/>
  <c r="U50" i="64"/>
  <c r="S50" i="64"/>
  <c r="R50" i="64"/>
  <c r="R52" i="64" s="1"/>
  <c r="P50" i="64"/>
  <c r="P52" i="64" s="1"/>
  <c r="N50" i="64"/>
  <c r="N52" i="64" s="1"/>
  <c r="M50" i="64"/>
  <c r="M52" i="64" s="1"/>
  <c r="I50" i="64"/>
  <c r="I52" i="64" s="1"/>
  <c r="H50" i="64"/>
  <c r="H52" i="64" s="1"/>
  <c r="BX49" i="64"/>
  <c r="BW49" i="64"/>
  <c r="BK49" i="64"/>
  <c r="BJ49" i="64"/>
  <c r="AU49" i="64"/>
  <c r="AW49" i="64" s="1"/>
  <c r="AK49" i="64"/>
  <c r="AJ49" i="64"/>
  <c r="X49" i="64"/>
  <c r="W49" i="64"/>
  <c r="K49" i="64"/>
  <c r="J49" i="64"/>
  <c r="BW48" i="64"/>
  <c r="BX48" i="64" s="1"/>
  <c r="BJ48" i="64"/>
  <c r="BK48" i="64" s="1"/>
  <c r="AU48" i="64"/>
  <c r="AJ48" i="64"/>
  <c r="AK48" i="64" s="1"/>
  <c r="W48" i="64"/>
  <c r="X48" i="64" s="1"/>
  <c r="J48" i="64"/>
  <c r="K48" i="64" s="1"/>
  <c r="BW47" i="64"/>
  <c r="BX47" i="64" s="1"/>
  <c r="BJ47" i="64"/>
  <c r="BK47" i="64" s="1"/>
  <c r="AU47" i="64"/>
  <c r="AW47" i="64" s="1"/>
  <c r="AJ47" i="64"/>
  <c r="AK47" i="64" s="1"/>
  <c r="W47" i="64"/>
  <c r="X47" i="64" s="1"/>
  <c r="J47" i="64"/>
  <c r="K47" i="64" s="1"/>
  <c r="BW45" i="64"/>
  <c r="BX45" i="64" s="1"/>
  <c r="BJ45" i="64"/>
  <c r="BK45" i="64" s="1"/>
  <c r="AU45" i="64"/>
  <c r="AW45" i="64" s="1"/>
  <c r="AJ45" i="64"/>
  <c r="AK45" i="64" s="1"/>
  <c r="W45" i="64"/>
  <c r="X45" i="64" s="1"/>
  <c r="J45" i="64"/>
  <c r="K45" i="64" s="1"/>
  <c r="BW44" i="64"/>
  <c r="BJ44" i="64"/>
  <c r="BK44" i="64" s="1"/>
  <c r="AU44" i="64"/>
  <c r="AJ44" i="64"/>
  <c r="W44" i="64"/>
  <c r="J44" i="64"/>
  <c r="K44" i="64" s="1"/>
  <c r="CF39" i="64"/>
  <c r="BZ39" i="64"/>
  <c r="BV39" i="64"/>
  <c r="BU39" i="64"/>
  <c r="BR39" i="64"/>
  <c r="BN39" i="64"/>
  <c r="BM39" i="64"/>
  <c r="BI39" i="64"/>
  <c r="BH39" i="64"/>
  <c r="BF39" i="64"/>
  <c r="BE39" i="64"/>
  <c r="BA39" i="64"/>
  <c r="AZ39" i="64"/>
  <c r="AV39" i="64"/>
  <c r="AS39" i="64"/>
  <c r="AR39" i="64"/>
  <c r="AN39" i="64"/>
  <c r="AM39" i="64"/>
  <c r="AI39" i="64"/>
  <c r="AH39" i="64"/>
  <c r="AF39" i="64"/>
  <c r="AE39" i="64"/>
  <c r="AA39" i="64"/>
  <c r="Z39" i="64"/>
  <c r="V39" i="64"/>
  <c r="U39" i="64"/>
  <c r="S39" i="64"/>
  <c r="R39" i="64"/>
  <c r="N39" i="64"/>
  <c r="M39" i="64"/>
  <c r="I39" i="64"/>
  <c r="H39" i="64"/>
  <c r="BW38" i="64"/>
  <c r="BX38" i="64" s="1"/>
  <c r="BJ38" i="64"/>
  <c r="BK38" i="64" s="1"/>
  <c r="AU38" i="64"/>
  <c r="AW38" i="64" s="1"/>
  <c r="AX38" i="64" s="1"/>
  <c r="AJ38" i="64"/>
  <c r="AK38" i="64" s="1"/>
  <c r="W38" i="64"/>
  <c r="X38" i="64" s="1"/>
  <c r="J38" i="64"/>
  <c r="BX37" i="64"/>
  <c r="BW37" i="64"/>
  <c r="BK37" i="64"/>
  <c r="BJ37" i="64"/>
  <c r="AU37" i="64"/>
  <c r="AW37" i="64" s="1"/>
  <c r="AX37" i="64" s="1"/>
  <c r="AJ37" i="64"/>
  <c r="AK37" i="64" s="1"/>
  <c r="W37" i="64"/>
  <c r="X37" i="64" s="1"/>
  <c r="J37" i="64"/>
  <c r="K37" i="64" s="1"/>
  <c r="BX36" i="64"/>
  <c r="BW36" i="64"/>
  <c r="BK36" i="64"/>
  <c r="BJ36" i="64"/>
  <c r="AU36" i="64"/>
  <c r="AX36" i="64" s="1"/>
  <c r="BW35" i="64"/>
  <c r="BX35" i="64" s="1"/>
  <c r="BJ35" i="64"/>
  <c r="BK35" i="64" s="1"/>
  <c r="AU35" i="64"/>
  <c r="AW35" i="64" s="1"/>
  <c r="AX35" i="64" s="1"/>
  <c r="AJ35" i="64"/>
  <c r="AK35" i="64" s="1"/>
  <c r="W35" i="64"/>
  <c r="X35" i="64" s="1"/>
  <c r="J35" i="64"/>
  <c r="K35" i="64" s="1"/>
  <c r="BW34" i="64"/>
  <c r="BX34" i="64" s="1"/>
  <c r="BJ34" i="64"/>
  <c r="BK34" i="64" s="1"/>
  <c r="AU34" i="64"/>
  <c r="AW34" i="64" s="1"/>
  <c r="AX34" i="64" s="1"/>
  <c r="AJ34" i="64"/>
  <c r="AK34" i="64" s="1"/>
  <c r="W34" i="64"/>
  <c r="X34" i="64" s="1"/>
  <c r="J34" i="64"/>
  <c r="K34" i="64" s="1"/>
  <c r="BW33" i="64"/>
  <c r="BX33" i="64" s="1"/>
  <c r="BJ33" i="64"/>
  <c r="AU33" i="64"/>
  <c r="AJ33" i="64"/>
  <c r="AK33" i="64" s="1"/>
  <c r="W33" i="64"/>
  <c r="X33" i="64" s="1"/>
  <c r="J33" i="64"/>
  <c r="K33" i="64" s="1"/>
  <c r="BX32" i="64"/>
  <c r="BW32" i="64"/>
  <c r="BK32" i="64"/>
  <c r="BJ32" i="64"/>
  <c r="AU32" i="64"/>
  <c r="AX32" i="64" s="1"/>
  <c r="AK32" i="64"/>
  <c r="AJ32" i="64"/>
  <c r="X32" i="64"/>
  <c r="W32" i="64"/>
  <c r="J32" i="64"/>
  <c r="BW31" i="64"/>
  <c r="BJ31" i="64"/>
  <c r="BK31" i="64" s="1"/>
  <c r="AU31" i="64"/>
  <c r="AW31" i="64" s="1"/>
  <c r="AJ31" i="64"/>
  <c r="AK31" i="64" s="1"/>
  <c r="W31" i="64"/>
  <c r="J31" i="64"/>
  <c r="K31" i="64" s="1"/>
  <c r="CF27" i="64"/>
  <c r="O14" i="3"/>
  <c r="BZ27" i="64"/>
  <c r="N14" i="3" s="1"/>
  <c r="BV27" i="64"/>
  <c r="BU27" i="64"/>
  <c r="BR27" i="64"/>
  <c r="L14" i="3" s="1"/>
  <c r="BN27" i="64"/>
  <c r="BM27" i="64"/>
  <c r="BI27" i="64"/>
  <c r="BH27" i="64"/>
  <c r="BF27" i="64"/>
  <c r="K14" i="3" s="1"/>
  <c r="BE27" i="64"/>
  <c r="BA27" i="64"/>
  <c r="AZ27" i="64"/>
  <c r="AV27" i="64"/>
  <c r="AR27" i="64"/>
  <c r="AN27" i="64"/>
  <c r="AM27" i="64"/>
  <c r="AI27" i="64"/>
  <c r="AF27" i="64"/>
  <c r="I14" i="3" s="1"/>
  <c r="AE27" i="64"/>
  <c r="AA27" i="64"/>
  <c r="Z27" i="64"/>
  <c r="V27" i="64"/>
  <c r="U27" i="64"/>
  <c r="S27" i="64"/>
  <c r="H14" i="3" s="1"/>
  <c r="R27" i="64"/>
  <c r="P27" i="64"/>
  <c r="N27" i="64"/>
  <c r="M27" i="64"/>
  <c r="I27" i="64"/>
  <c r="H27" i="64"/>
  <c r="BX26" i="64"/>
  <c r="BW26" i="64"/>
  <c r="BK26" i="64"/>
  <c r="BJ26" i="64"/>
  <c r="AU26" i="64"/>
  <c r="AW26" i="64" s="1"/>
  <c r="AK26" i="64"/>
  <c r="AJ26" i="64"/>
  <c r="W26" i="64"/>
  <c r="X26" i="64" s="1"/>
  <c r="J26" i="64"/>
  <c r="K26" i="64" s="1"/>
  <c r="BX25" i="64"/>
  <c r="BW25" i="64"/>
  <c r="BK25" i="64"/>
  <c r="BJ25" i="64"/>
  <c r="AU25" i="64"/>
  <c r="AX25" i="64" s="1"/>
  <c r="AK25" i="64"/>
  <c r="AJ25" i="64"/>
  <c r="X25" i="64"/>
  <c r="W25" i="64"/>
  <c r="J25" i="64"/>
  <c r="K25" i="64" s="1"/>
  <c r="AU24" i="64"/>
  <c r="AJ24" i="64"/>
  <c r="BW23" i="64"/>
  <c r="BX23" i="64" s="1"/>
  <c r="BJ23" i="64"/>
  <c r="BK23" i="64" s="1"/>
  <c r="AU23" i="64"/>
  <c r="AK23" i="64"/>
  <c r="AJ23" i="64"/>
  <c r="BW21" i="64"/>
  <c r="BX21" i="64" s="1"/>
  <c r="BJ21" i="64"/>
  <c r="AU21" i="64"/>
  <c r="AS21" i="64"/>
  <c r="AS27" i="64" s="1"/>
  <c r="J14" i="3" s="1"/>
  <c r="AJ21" i="64"/>
  <c r="AK21" i="64" s="1"/>
  <c r="W21" i="64"/>
  <c r="X21" i="64" s="1"/>
  <c r="J21" i="64"/>
  <c r="K21" i="64" s="1"/>
  <c r="BX20" i="64"/>
  <c r="BW20" i="64"/>
  <c r="BK20" i="64"/>
  <c r="BJ20" i="64"/>
  <c r="AU20" i="64"/>
  <c r="AX20" i="64" s="1"/>
  <c r="AK20" i="64"/>
  <c r="AJ20" i="64"/>
  <c r="W20" i="64"/>
  <c r="J20" i="64"/>
  <c r="CF18" i="64"/>
  <c r="O13" i="3"/>
  <c r="BZ18" i="64"/>
  <c r="N13" i="3" s="1"/>
  <c r="BV18" i="64"/>
  <c r="BU18" i="64"/>
  <c r="BR18" i="64"/>
  <c r="L13" i="3" s="1"/>
  <c r="BN18" i="64"/>
  <c r="BM18" i="64"/>
  <c r="BI18" i="64"/>
  <c r="BF18" i="64"/>
  <c r="K13" i="3" s="1"/>
  <c r="AZ18" i="64"/>
  <c r="AV18" i="64"/>
  <c r="AS18" i="64"/>
  <c r="J13" i="3" s="1"/>
  <c r="AR18" i="64"/>
  <c r="AN18" i="64"/>
  <c r="AM18" i="64"/>
  <c r="AI18" i="64"/>
  <c r="AH18" i="64"/>
  <c r="AH29" i="64" s="1"/>
  <c r="AF18" i="64"/>
  <c r="I13" i="3" s="1"/>
  <c r="AE18" i="64"/>
  <c r="AA18" i="64"/>
  <c r="Z18" i="64"/>
  <c r="U18" i="64"/>
  <c r="S18" i="64"/>
  <c r="H13" i="3" s="1"/>
  <c r="R18" i="64"/>
  <c r="P18" i="64"/>
  <c r="N18" i="64"/>
  <c r="M18" i="64"/>
  <c r="I18" i="64"/>
  <c r="H18" i="64"/>
  <c r="AU17" i="64"/>
  <c r="BW16" i="64"/>
  <c r="BX16" i="64" s="1"/>
  <c r="BJ16" i="64"/>
  <c r="BK16" i="64" s="1"/>
  <c r="AU16" i="64"/>
  <c r="AW16" i="64" s="1"/>
  <c r="AJ16" i="64"/>
  <c r="AK16" i="64" s="1"/>
  <c r="W16" i="64"/>
  <c r="X16" i="64" s="1"/>
  <c r="J16" i="64"/>
  <c r="K16" i="64" s="1"/>
  <c r="BW15" i="64"/>
  <c r="BX15" i="64" s="1"/>
  <c r="BJ15" i="64"/>
  <c r="BK15" i="64" s="1"/>
  <c r="AU15" i="64"/>
  <c r="AW15" i="64" s="1"/>
  <c r="AX15" i="64" s="1"/>
  <c r="AJ15" i="64"/>
  <c r="AK15" i="64" s="1"/>
  <c r="X15" i="64"/>
  <c r="W15" i="64"/>
  <c r="K15" i="64"/>
  <c r="J15" i="64"/>
  <c r="BW14" i="64"/>
  <c r="BX14" i="64" s="1"/>
  <c r="BJ14" i="64"/>
  <c r="BK14" i="64" s="1"/>
  <c r="AU14" i="64"/>
  <c r="AJ14" i="64"/>
  <c r="AK14" i="64" s="1"/>
  <c r="X14" i="64"/>
  <c r="V14" i="64"/>
  <c r="V18" i="64" s="1"/>
  <c r="K14" i="64"/>
  <c r="J14" i="64"/>
  <c r="BW13" i="64"/>
  <c r="BH13" i="64"/>
  <c r="BE13" i="64"/>
  <c r="BE18" i="64" s="1"/>
  <c r="BA13" i="64"/>
  <c r="BA18" i="64" s="1"/>
  <c r="AU13" i="64"/>
  <c r="AW13" i="64" s="1"/>
  <c r="AX13" i="64" s="1"/>
  <c r="AJ13" i="64"/>
  <c r="AK13" i="64" s="1"/>
  <c r="W13" i="64"/>
  <c r="J13" i="64"/>
  <c r="K13" i="64" s="1"/>
  <c r="BW12" i="64"/>
  <c r="BX12" i="64" s="1"/>
  <c r="BJ12" i="64"/>
  <c r="AU12" i="64"/>
  <c r="AJ12" i="64"/>
  <c r="AK12" i="64" s="1"/>
  <c r="W12" i="64"/>
  <c r="X12" i="64" s="1"/>
  <c r="J12" i="64"/>
  <c r="K12" i="64" s="1"/>
  <c r="CF7" i="64"/>
  <c r="CF9" i="64" s="1"/>
  <c r="BZ7" i="64"/>
  <c r="BV7" i="64"/>
  <c r="BV9" i="64" s="1"/>
  <c r="BU7" i="64"/>
  <c r="BU9" i="64" s="1"/>
  <c r="BR7" i="64"/>
  <c r="BN7" i="64"/>
  <c r="BN9" i="64" s="1"/>
  <c r="BM7" i="64"/>
  <c r="BM9" i="64" s="1"/>
  <c r="BI7" i="64"/>
  <c r="BI9" i="64" s="1"/>
  <c r="BH7" i="64"/>
  <c r="BH9" i="64" s="1"/>
  <c r="BF7" i="64"/>
  <c r="BE7" i="64"/>
  <c r="BE9" i="64" s="1"/>
  <c r="BA7" i="64"/>
  <c r="BA9" i="64" s="1"/>
  <c r="AZ7" i="64"/>
  <c r="AZ9" i="64" s="1"/>
  <c r="AV7" i="64"/>
  <c r="AV9" i="64" s="1"/>
  <c r="AS7" i="64"/>
  <c r="AR7" i="64"/>
  <c r="AR9" i="64" s="1"/>
  <c r="AN7" i="64"/>
  <c r="AN9" i="64" s="1"/>
  <c r="AM7" i="64"/>
  <c r="AM9" i="64" s="1"/>
  <c r="AI7" i="64"/>
  <c r="AI9" i="64" s="1"/>
  <c r="AF7" i="64"/>
  <c r="AE7" i="64"/>
  <c r="AE9" i="64" s="1"/>
  <c r="AA7" i="64"/>
  <c r="AA9" i="64" s="1"/>
  <c r="Z7" i="64"/>
  <c r="Z9" i="64" s="1"/>
  <c r="V7" i="64"/>
  <c r="V9" i="64" s="1"/>
  <c r="U7" i="64"/>
  <c r="U9" i="64" s="1"/>
  <c r="S7" i="64"/>
  <c r="R7" i="64"/>
  <c r="R9" i="64" s="1"/>
  <c r="P7" i="64"/>
  <c r="P9" i="64" s="1"/>
  <c r="N7" i="64"/>
  <c r="N9" i="64" s="1"/>
  <c r="M7" i="64"/>
  <c r="M9" i="64" s="1"/>
  <c r="I7" i="64"/>
  <c r="I9" i="64" s="1"/>
  <c r="H7" i="64"/>
  <c r="H9" i="64" s="1"/>
  <c r="BW6" i="64"/>
  <c r="BJ6" i="64"/>
  <c r="BK6" i="64" s="1"/>
  <c r="AU6" i="64"/>
  <c r="AU7" i="64" s="1"/>
  <c r="AJ6" i="64"/>
  <c r="AJ7" i="64" s="1"/>
  <c r="W6" i="64"/>
  <c r="W7" i="64" s="1"/>
  <c r="J6" i="64"/>
  <c r="K6" i="64" s="1"/>
  <c r="I808" i="64" l="1"/>
  <c r="BW18" i="64"/>
  <c r="AV808" i="64"/>
  <c r="BI808" i="64"/>
  <c r="N197" i="3"/>
  <c r="T21" i="4"/>
  <c r="N181" i="3"/>
  <c r="G9" i="61"/>
  <c r="H9" i="61" s="1"/>
  <c r="N104" i="3"/>
  <c r="N342" i="3"/>
  <c r="N28" i="3"/>
  <c r="N162" i="3"/>
  <c r="N294" i="3"/>
  <c r="N154" i="3"/>
  <c r="N10" i="3"/>
  <c r="N75" i="3"/>
  <c r="N79" i="3" s="1"/>
  <c r="N195" i="3"/>
  <c r="BX13" i="64"/>
  <c r="BW19" i="64"/>
  <c r="N57" i="3"/>
  <c r="N61" i="3" s="1"/>
  <c r="BX272" i="64"/>
  <c r="BW277" i="64"/>
  <c r="BX277" i="64" s="1"/>
  <c r="K272" i="64"/>
  <c r="J277" i="64"/>
  <c r="K277" i="64" s="1"/>
  <c r="X272" i="64"/>
  <c r="W277" i="64"/>
  <c r="X277" i="64" s="1"/>
  <c r="BK272" i="64"/>
  <c r="BJ277" i="64"/>
  <c r="BK277" i="64" s="1"/>
  <c r="BE200" i="64"/>
  <c r="CF481" i="64"/>
  <c r="CF489" i="64" s="1"/>
  <c r="S471" i="64"/>
  <c r="AR481" i="64"/>
  <c r="AR489" i="64" s="1"/>
  <c r="R481" i="64"/>
  <c r="AE481" i="64"/>
  <c r="AE489" i="64" s="1"/>
  <c r="BS924" i="64"/>
  <c r="BS680" i="64"/>
  <c r="BW610" i="64"/>
  <c r="M225" i="3" s="1"/>
  <c r="M227" i="3" s="1"/>
  <c r="O171" i="3"/>
  <c r="O175" i="3" s="1"/>
  <c r="AM98" i="64"/>
  <c r="BA200" i="64"/>
  <c r="BN200" i="64"/>
  <c r="O84" i="3"/>
  <c r="O88" i="3" s="1"/>
  <c r="H269" i="64"/>
  <c r="O61" i="3"/>
  <c r="L39" i="3"/>
  <c r="L43" i="3" s="1"/>
  <c r="V313" i="64"/>
  <c r="V354" i="64" s="1"/>
  <c r="P375" i="64"/>
  <c r="P416" i="64" s="1"/>
  <c r="J340" i="3"/>
  <c r="J342" i="3" s="1"/>
  <c r="J204" i="3"/>
  <c r="N39" i="3"/>
  <c r="I471" i="64"/>
  <c r="AS481" i="64"/>
  <c r="BH481" i="64"/>
  <c r="AZ536" i="64"/>
  <c r="AZ582" i="64" s="1"/>
  <c r="V721" i="64"/>
  <c r="H340" i="3"/>
  <c r="BJ460" i="64"/>
  <c r="AR460" i="64"/>
  <c r="BF460" i="64"/>
  <c r="AI471" i="64"/>
  <c r="AZ471" i="64"/>
  <c r="BM471" i="64"/>
  <c r="H506" i="64"/>
  <c r="H508" i="64" s="1"/>
  <c r="M536" i="64"/>
  <c r="M582" i="64" s="1"/>
  <c r="V536" i="64"/>
  <c r="V582" i="64" s="1"/>
  <c r="BF898" i="64"/>
  <c r="AN793" i="64"/>
  <c r="I254" i="3"/>
  <c r="I335" i="3"/>
  <c r="I337" i="3" s="1"/>
  <c r="J275" i="3"/>
  <c r="J277" i="3" s="1"/>
  <c r="I230" i="3"/>
  <c r="I232" i="3" s="1"/>
  <c r="K225" i="3"/>
  <c r="K227" i="3" s="1"/>
  <c r="AE375" i="64"/>
  <c r="J208" i="3"/>
  <c r="J301" i="3"/>
  <c r="J303" i="3" s="1"/>
  <c r="I9" i="4"/>
  <c r="N636" i="64"/>
  <c r="N669" i="64" s="1"/>
  <c r="BR708" i="64"/>
  <c r="Q27" i="4" s="1"/>
  <c r="J230" i="3"/>
  <c r="J232" i="3" s="1"/>
  <c r="M15" i="4"/>
  <c r="O21" i="4"/>
  <c r="H335" i="3"/>
  <c r="H337" i="3" s="1"/>
  <c r="J335" i="3"/>
  <c r="J337" i="3" s="1"/>
  <c r="M208" i="3"/>
  <c r="N270" i="3"/>
  <c r="O37" i="3"/>
  <c r="O39" i="3" s="1"/>
  <c r="O43" i="3" s="1"/>
  <c r="AF184" i="64"/>
  <c r="I69" i="3"/>
  <c r="I71" i="3" s="1"/>
  <c r="BZ184" i="64"/>
  <c r="N69" i="3"/>
  <c r="O91" i="3"/>
  <c r="O93" i="3" s="1"/>
  <c r="BX6" i="64"/>
  <c r="M8" i="3"/>
  <c r="M10" i="3" s="1"/>
  <c r="S9" i="64"/>
  <c r="AF9" i="64"/>
  <c r="BZ9" i="64"/>
  <c r="L17" i="3"/>
  <c r="S52" i="64"/>
  <c r="H22" i="3"/>
  <c r="AF52" i="64"/>
  <c r="I22" i="3"/>
  <c r="I24" i="3" s="1"/>
  <c r="BZ52" i="64"/>
  <c r="N22" i="3"/>
  <c r="BR98" i="64"/>
  <c r="BR115" i="64" s="1"/>
  <c r="L46" i="3"/>
  <c r="L48" i="3" s="1"/>
  <c r="L52" i="3" s="1"/>
  <c r="BR127" i="64"/>
  <c r="BR144" i="64" s="1"/>
  <c r="L55" i="3"/>
  <c r="L57" i="3" s="1"/>
  <c r="L61" i="3" s="1"/>
  <c r="BR176" i="64"/>
  <c r="Q9" i="4" s="1"/>
  <c r="O64" i="3"/>
  <c r="O66" i="3" s="1"/>
  <c r="BR184" i="64"/>
  <c r="L69" i="3"/>
  <c r="L71" i="3" s="1"/>
  <c r="AU190" i="64"/>
  <c r="AI200" i="64"/>
  <c r="BF240" i="64"/>
  <c r="K91" i="3"/>
  <c r="K93" i="3" s="1"/>
  <c r="BW245" i="64"/>
  <c r="M96" i="3" s="1"/>
  <c r="I9" i="61"/>
  <c r="J9" i="61" s="1"/>
  <c r="O181" i="3"/>
  <c r="CA937" i="64"/>
  <c r="O185" i="3"/>
  <c r="I11" i="61"/>
  <c r="L194" i="3"/>
  <c r="L195" i="3" s="1"/>
  <c r="L199" i="3" s="1"/>
  <c r="BR913" i="64"/>
  <c r="L350" i="3"/>
  <c r="L352" i="3" s="1"/>
  <c r="S922" i="64"/>
  <c r="I50" i="4"/>
  <c r="AF922" i="64"/>
  <c r="K50" i="4"/>
  <c r="K51" i="4" s="1"/>
  <c r="AS922" i="64"/>
  <c r="M50" i="4"/>
  <c r="M51" i="4" s="1"/>
  <c r="BF922" i="64"/>
  <c r="O50" i="4"/>
  <c r="O51" i="4" s="1"/>
  <c r="BZ887" i="64"/>
  <c r="N335" i="3"/>
  <c r="BR898" i="64"/>
  <c r="Q45" i="4"/>
  <c r="Q47" i="4" s="1"/>
  <c r="L340" i="3"/>
  <c r="L342" i="3" s="1"/>
  <c r="BR9" i="64"/>
  <c r="BR200" i="64"/>
  <c r="L74" i="3"/>
  <c r="L75" i="3" s="1"/>
  <c r="L79" i="3" s="1"/>
  <c r="U9" i="4"/>
  <c r="O17" i="3"/>
  <c r="AS9" i="64"/>
  <c r="O9" i="4"/>
  <c r="K17" i="3"/>
  <c r="O22" i="3"/>
  <c r="O24" i="3" s="1"/>
  <c r="BF98" i="64"/>
  <c r="BF115" i="64" s="1"/>
  <c r="K46" i="3"/>
  <c r="K48" i="3" s="1"/>
  <c r="K52" i="3" s="1"/>
  <c r="BF184" i="64"/>
  <c r="K69" i="3"/>
  <c r="K71" i="3" s="1"/>
  <c r="H215" i="64"/>
  <c r="AF240" i="64"/>
  <c r="I91" i="3"/>
  <c r="I93" i="3" s="1"/>
  <c r="AS240" i="64"/>
  <c r="J91" i="3"/>
  <c r="J93" i="3" s="1"/>
  <c r="K194" i="3"/>
  <c r="K195" i="3" s="1"/>
  <c r="K199" i="3" s="1"/>
  <c r="K21" i="4"/>
  <c r="I197" i="3"/>
  <c r="I199" i="3" s="1"/>
  <c r="AF907" i="64"/>
  <c r="I345" i="3"/>
  <c r="I347" i="3" s="1"/>
  <c r="BR907" i="64"/>
  <c r="L345" i="3"/>
  <c r="L347" i="3" s="1"/>
  <c r="BF913" i="64"/>
  <c r="K350" i="3"/>
  <c r="K352" i="3" s="1"/>
  <c r="AH922" i="64"/>
  <c r="AH924" i="64" s="1"/>
  <c r="AK920" i="64"/>
  <c r="K9" i="4"/>
  <c r="I17" i="3"/>
  <c r="M9" i="4"/>
  <c r="J17" i="3"/>
  <c r="BF178" i="64"/>
  <c r="K64" i="3"/>
  <c r="K66" i="3" s="1"/>
  <c r="BW184" i="64"/>
  <c r="M69" i="3"/>
  <c r="AS184" i="64"/>
  <c r="J69" i="3"/>
  <c r="J71" i="3" s="1"/>
  <c r="N200" i="64"/>
  <c r="Z200" i="64"/>
  <c r="BZ240" i="64"/>
  <c r="N91" i="3"/>
  <c r="N93" i="3" s="1"/>
  <c r="BF279" i="64"/>
  <c r="K111" i="3"/>
  <c r="K113" i="3" s="1"/>
  <c r="AS375" i="64"/>
  <c r="AS416" i="64" s="1"/>
  <c r="J129" i="3"/>
  <c r="J131" i="3" s="1"/>
  <c r="J135" i="3" s="1"/>
  <c r="BF451" i="64"/>
  <c r="K147" i="3"/>
  <c r="K148" i="3" s="1"/>
  <c r="K150" i="3" s="1"/>
  <c r="I33" i="4"/>
  <c r="H288" i="3"/>
  <c r="S815" i="64"/>
  <c r="H301" i="3"/>
  <c r="AF815" i="64"/>
  <c r="I301" i="3"/>
  <c r="I303" i="3" s="1"/>
  <c r="BZ815" i="64"/>
  <c r="N301" i="3"/>
  <c r="BR865" i="64"/>
  <c r="BR866" i="64" s="1"/>
  <c r="L322" i="3"/>
  <c r="L324" i="3" s="1"/>
  <c r="L325" i="3" s="1"/>
  <c r="Q39" i="4"/>
  <c r="Q41" i="4" s="1"/>
  <c r="S881" i="64"/>
  <c r="I45" i="4"/>
  <c r="H330" i="3"/>
  <c r="AF881" i="64"/>
  <c r="K45" i="4"/>
  <c r="K47" i="4" s="1"/>
  <c r="I330" i="3"/>
  <c r="I332" i="3" s="1"/>
  <c r="AS881" i="64"/>
  <c r="M45" i="4"/>
  <c r="M47" i="4" s="1"/>
  <c r="J330" i="3"/>
  <c r="J332" i="3" s="1"/>
  <c r="N17" i="3"/>
  <c r="T9" i="4"/>
  <c r="BR52" i="64"/>
  <c r="L22" i="3"/>
  <c r="L24" i="3" s="1"/>
  <c r="AS279" i="64"/>
  <c r="J111" i="3"/>
  <c r="J113" i="3" s="1"/>
  <c r="BW451" i="64"/>
  <c r="M147" i="3"/>
  <c r="M148" i="3" s="1"/>
  <c r="M150" i="3" s="1"/>
  <c r="AS451" i="64"/>
  <c r="J147" i="3"/>
  <c r="J148" i="3" s="1"/>
  <c r="J150" i="3" s="1"/>
  <c r="BR605" i="64"/>
  <c r="L220" i="3"/>
  <c r="L222" i="3" s="1"/>
  <c r="AF605" i="64"/>
  <c r="I220" i="3"/>
  <c r="I222" i="3" s="1"/>
  <c r="BZ605" i="64"/>
  <c r="N220" i="3"/>
  <c r="O225" i="3"/>
  <c r="O227" i="3" s="1"/>
  <c r="H256" i="3"/>
  <c r="I27" i="4"/>
  <c r="K27" i="4"/>
  <c r="I256" i="3"/>
  <c r="M27" i="4"/>
  <c r="J256" i="3"/>
  <c r="BR746" i="64"/>
  <c r="L270" i="3"/>
  <c r="L272" i="3" s="1"/>
  <c r="AF752" i="64"/>
  <c r="I275" i="3"/>
  <c r="I277" i="3" s="1"/>
  <c r="BZ752" i="64"/>
  <c r="N275" i="3"/>
  <c r="M33" i="4"/>
  <c r="J288" i="3"/>
  <c r="O293" i="3"/>
  <c r="O294" i="3" s="1"/>
  <c r="O298" i="3" s="1"/>
  <c r="O301" i="3"/>
  <c r="O303" i="3" s="1"/>
  <c r="BR837" i="64"/>
  <c r="L313" i="3"/>
  <c r="L315" i="3" s="1"/>
  <c r="BF865" i="64"/>
  <c r="BF866" i="64" s="1"/>
  <c r="O39" i="4"/>
  <c r="O41" i="4" s="1"/>
  <c r="K322" i="3"/>
  <c r="K324" i="3" s="1"/>
  <c r="K325" i="3" s="1"/>
  <c r="BZ881" i="64"/>
  <c r="N330" i="3"/>
  <c r="N332" i="3" s="1"/>
  <c r="BF9" i="64"/>
  <c r="O69" i="3"/>
  <c r="O71" i="3" s="1"/>
  <c r="AF279" i="64"/>
  <c r="I111" i="3"/>
  <c r="I113" i="3" s="1"/>
  <c r="BZ279" i="64"/>
  <c r="N111" i="3"/>
  <c r="O131" i="3"/>
  <c r="O135" i="3" s="1"/>
  <c r="BF605" i="64"/>
  <c r="K220" i="3"/>
  <c r="K222" i="3" s="1"/>
  <c r="O220" i="3"/>
  <c r="O222" i="3" s="1"/>
  <c r="BR619" i="64"/>
  <c r="L230" i="3"/>
  <c r="L232" i="3" s="1"/>
  <c r="BF678" i="64"/>
  <c r="K244" i="3"/>
  <c r="K246" i="3" s="1"/>
  <c r="N256" i="3"/>
  <c r="T27" i="4"/>
  <c r="L263" i="3"/>
  <c r="L267" i="3" s="1"/>
  <c r="BF746" i="64"/>
  <c r="K270" i="3"/>
  <c r="K272" i="3" s="1"/>
  <c r="O275" i="3"/>
  <c r="O277" i="3" s="1"/>
  <c r="BZ98" i="64"/>
  <c r="BZ115" i="64" s="1"/>
  <c r="N46" i="3"/>
  <c r="AF178" i="64"/>
  <c r="I64" i="3"/>
  <c r="I66" i="3" s="1"/>
  <c r="BF52" i="64"/>
  <c r="K22" i="3"/>
  <c r="K24" i="3" s="1"/>
  <c r="AS52" i="64"/>
  <c r="J22" i="3"/>
  <c r="J24" i="3" s="1"/>
  <c r="AM115" i="64"/>
  <c r="AS178" i="64"/>
  <c r="J64" i="3"/>
  <c r="J66" i="3" s="1"/>
  <c r="BZ178" i="64"/>
  <c r="N64" i="3"/>
  <c r="AS200" i="64"/>
  <c r="J74" i="3"/>
  <c r="J75" i="3" s="1"/>
  <c r="J79" i="3" s="1"/>
  <c r="BW240" i="64"/>
  <c r="M91" i="3"/>
  <c r="M93" i="3" s="1"/>
  <c r="BR240" i="64"/>
  <c r="L91" i="3"/>
  <c r="L93" i="3" s="1"/>
  <c r="O108" i="3"/>
  <c r="O111" i="3"/>
  <c r="O113" i="3" s="1"/>
  <c r="BR922" i="64"/>
  <c r="Q50" i="4"/>
  <c r="Q51" i="4" s="1"/>
  <c r="AF898" i="64"/>
  <c r="I340" i="3"/>
  <c r="I342" i="3" s="1"/>
  <c r="O340" i="3"/>
  <c r="O342" i="3" s="1"/>
  <c r="U45" i="4"/>
  <c r="U47" i="4" s="1"/>
  <c r="O15" i="4"/>
  <c r="K124" i="3"/>
  <c r="BR451" i="64"/>
  <c r="L147" i="3"/>
  <c r="L148" i="3" s="1"/>
  <c r="L150" i="3" s="1"/>
  <c r="BR936" i="64"/>
  <c r="C10" i="61"/>
  <c r="H10" i="61" s="1"/>
  <c r="N185" i="3"/>
  <c r="H208" i="3"/>
  <c r="I22" i="4"/>
  <c r="BZ612" i="64"/>
  <c r="N225" i="3"/>
  <c r="O230" i="3"/>
  <c r="O232" i="3" s="1"/>
  <c r="AI721" i="64"/>
  <c r="AI734" i="64" s="1"/>
  <c r="BW779" i="64"/>
  <c r="BX779" i="64" s="1"/>
  <c r="O313" i="3"/>
  <c r="O315" i="3" s="1"/>
  <c r="BF881" i="64"/>
  <c r="O45" i="4"/>
  <c r="O47" i="4" s="1"/>
  <c r="O345" i="3"/>
  <c r="O347" i="3" s="1"/>
  <c r="I225" i="3"/>
  <c r="I227" i="3" s="1"/>
  <c r="I270" i="3"/>
  <c r="I272" i="3" s="1"/>
  <c r="I147" i="3"/>
  <c r="I148" i="3" s="1"/>
  <c r="I150" i="3" s="1"/>
  <c r="J225" i="3"/>
  <c r="J227" i="3" s="1"/>
  <c r="J270" i="3"/>
  <c r="J272" i="3" s="1"/>
  <c r="K153" i="3"/>
  <c r="K154" i="3" s="1"/>
  <c r="K158" i="3" s="1"/>
  <c r="K293" i="3"/>
  <c r="K294" i="3" s="1"/>
  <c r="K298" i="3" s="1"/>
  <c r="L111" i="3"/>
  <c r="L113" i="3" s="1"/>
  <c r="L181" i="3"/>
  <c r="O147" i="3"/>
  <c r="O148" i="3" s="1"/>
  <c r="O150" i="3" s="1"/>
  <c r="O202" i="3"/>
  <c r="O204" i="3" s="1"/>
  <c r="U15" i="4"/>
  <c r="AZ375" i="64"/>
  <c r="AZ416" i="64" s="1"/>
  <c r="R471" i="64"/>
  <c r="AE471" i="64"/>
  <c r="N183" i="3"/>
  <c r="BR937" i="64"/>
  <c r="L185" i="3"/>
  <c r="M21" i="4"/>
  <c r="T22" i="4"/>
  <c r="N208" i="3"/>
  <c r="BR612" i="64"/>
  <c r="L225" i="3"/>
  <c r="L227" i="3" s="1"/>
  <c r="BF619" i="64"/>
  <c r="K230" i="3"/>
  <c r="K232" i="3" s="1"/>
  <c r="U27" i="4"/>
  <c r="O256" i="3"/>
  <c r="BF721" i="64"/>
  <c r="BF734" i="64" s="1"/>
  <c r="K261" i="3"/>
  <c r="K263" i="3" s="1"/>
  <c r="K267" i="3" s="1"/>
  <c r="Z808" i="64"/>
  <c r="BF837" i="64"/>
  <c r="K313" i="3"/>
  <c r="K315" i="3" s="1"/>
  <c r="AF865" i="64"/>
  <c r="AF866" i="64" s="1"/>
  <c r="K39" i="4"/>
  <c r="K41" i="4" s="1"/>
  <c r="AS865" i="64"/>
  <c r="AS866" i="64" s="1"/>
  <c r="M39" i="4"/>
  <c r="M41" i="4" s="1"/>
  <c r="BF907" i="64"/>
  <c r="K345" i="3"/>
  <c r="K347" i="3" s="1"/>
  <c r="H345" i="3"/>
  <c r="J124" i="3"/>
  <c r="J169" i="3"/>
  <c r="J171" i="3" s="1"/>
  <c r="J175" i="3" s="1"/>
  <c r="J194" i="3"/>
  <c r="J195" i="3" s="1"/>
  <c r="J199" i="3" s="1"/>
  <c r="J345" i="3"/>
  <c r="J347" i="3" s="1"/>
  <c r="K330" i="3"/>
  <c r="K332" i="3" s="1"/>
  <c r="L208" i="3"/>
  <c r="N147" i="3"/>
  <c r="O330" i="3"/>
  <c r="O332" i="3" s="1"/>
  <c r="I15" i="4"/>
  <c r="O27" i="4"/>
  <c r="U50" i="4"/>
  <c r="U51" i="4" s="1"/>
  <c r="T33" i="4"/>
  <c r="T15" i="4"/>
  <c r="AS471" i="64"/>
  <c r="BR481" i="64"/>
  <c r="BR489" i="64" s="1"/>
  <c r="L169" i="3"/>
  <c r="L171" i="3" s="1"/>
  <c r="L175" i="3" s="1"/>
  <c r="CA936" i="64"/>
  <c r="I10" i="61"/>
  <c r="O183" i="3"/>
  <c r="O208" i="3"/>
  <c r="U22" i="4"/>
  <c r="U23" i="4" s="1"/>
  <c r="BR752" i="64"/>
  <c r="L275" i="3"/>
  <c r="L277" i="3" s="1"/>
  <c r="O288" i="3"/>
  <c r="U33" i="4"/>
  <c r="BR815" i="64"/>
  <c r="L301" i="3"/>
  <c r="L303" i="3" s="1"/>
  <c r="R829" i="64"/>
  <c r="AE829" i="64"/>
  <c r="AS829" i="64"/>
  <c r="BH829" i="64"/>
  <c r="BZ913" i="64"/>
  <c r="N350" i="3"/>
  <c r="BZ922" i="64"/>
  <c r="T50" i="4"/>
  <c r="T51" i="4" s="1"/>
  <c r="BR887" i="64"/>
  <c r="L335" i="3"/>
  <c r="L337" i="3" s="1"/>
  <c r="H313" i="3"/>
  <c r="H350" i="3"/>
  <c r="I313" i="3"/>
  <c r="I315" i="3" s="1"/>
  <c r="I350" i="3"/>
  <c r="I352" i="3" s="1"/>
  <c r="I208" i="3"/>
  <c r="J313" i="3"/>
  <c r="J315" i="3" s="1"/>
  <c r="J350" i="3"/>
  <c r="J352" i="3" s="1"/>
  <c r="O335" i="3"/>
  <c r="O337" i="3" s="1"/>
  <c r="K15" i="4"/>
  <c r="O22" i="4"/>
  <c r="I251" i="64"/>
  <c r="I253" i="64" s="1"/>
  <c r="AI251" i="64"/>
  <c r="AI253" i="64" s="1"/>
  <c r="AZ251" i="64"/>
  <c r="AZ253" i="64" s="1"/>
  <c r="BM251" i="64"/>
  <c r="BM253" i="64" s="1"/>
  <c r="O96" i="3"/>
  <c r="O98" i="3" s="1"/>
  <c r="O100" i="3" s="1"/>
  <c r="BX458" i="64"/>
  <c r="M156" i="3"/>
  <c r="AA481" i="64"/>
  <c r="AA489" i="64" s="1"/>
  <c r="BF481" i="64"/>
  <c r="BF489" i="64" s="1"/>
  <c r="K169" i="3"/>
  <c r="K171" i="3" s="1"/>
  <c r="K175" i="3" s="1"/>
  <c r="H194" i="3"/>
  <c r="O199" i="3"/>
  <c r="L217" i="3"/>
  <c r="BZ619" i="64"/>
  <c r="N230" i="3"/>
  <c r="BF752" i="64"/>
  <c r="K275" i="3"/>
  <c r="K277" i="3" s="1"/>
  <c r="BM771" i="64"/>
  <c r="BM795" i="64" s="1"/>
  <c r="K33" i="4"/>
  <c r="O33" i="4"/>
  <c r="K288" i="3"/>
  <c r="BF815" i="64"/>
  <c r="K301" i="3"/>
  <c r="K303" i="3" s="1"/>
  <c r="BZ837" i="64"/>
  <c r="N313" i="3"/>
  <c r="N315" i="3" s="1"/>
  <c r="U39" i="4"/>
  <c r="U41" i="4" s="1"/>
  <c r="O322" i="3"/>
  <c r="O324" i="3" s="1"/>
  <c r="O325" i="3" s="1"/>
  <c r="BR881" i="64"/>
  <c r="L330" i="3"/>
  <c r="L332" i="3" s="1"/>
  <c r="O350" i="3"/>
  <c r="O352" i="3" s="1"/>
  <c r="BF887" i="64"/>
  <c r="K335" i="3"/>
  <c r="K337" i="3" s="1"/>
  <c r="H322" i="3"/>
  <c r="I244" i="3"/>
  <c r="I246" i="3" s="1"/>
  <c r="I322" i="3"/>
  <c r="I324" i="3" s="1"/>
  <c r="I325" i="3" s="1"/>
  <c r="J220" i="3"/>
  <c r="J222" i="3" s="1"/>
  <c r="J244" i="3"/>
  <c r="J246" i="3" s="1"/>
  <c r="J322" i="3"/>
  <c r="J324" i="3" s="1"/>
  <c r="J325" i="3" s="1"/>
  <c r="M161" i="3"/>
  <c r="M162" i="3" s="1"/>
  <c r="N322" i="3"/>
  <c r="O270" i="3"/>
  <c r="O272" i="3" s="1"/>
  <c r="I39" i="4"/>
  <c r="T39" i="4"/>
  <c r="T41" i="4" s="1"/>
  <c r="C11" i="61"/>
  <c r="H11" i="61" s="1"/>
  <c r="K166" i="3"/>
  <c r="Q21" i="4"/>
  <c r="I263" i="3"/>
  <c r="I267" i="3" s="1"/>
  <c r="I166" i="3"/>
  <c r="J122" i="3"/>
  <c r="J140" i="3"/>
  <c r="J144" i="3" s="1"/>
  <c r="J166" i="3"/>
  <c r="J15" i="3"/>
  <c r="J98" i="3"/>
  <c r="J100" i="3" s="1"/>
  <c r="J237" i="3"/>
  <c r="J241" i="3" s="1"/>
  <c r="J286" i="3"/>
  <c r="J310" i="3"/>
  <c r="K365" i="3"/>
  <c r="K367" i="3" s="1"/>
  <c r="K368" i="3" s="1"/>
  <c r="N244" i="3"/>
  <c r="O244" i="3"/>
  <c r="O246" i="3" s="1"/>
  <c r="AX556" i="64"/>
  <c r="I217" i="3"/>
  <c r="L244" i="3"/>
  <c r="L246" i="3" s="1"/>
  <c r="N84" i="3"/>
  <c r="K84" i="3"/>
  <c r="K88" i="3" s="1"/>
  <c r="K108" i="3"/>
  <c r="K131" i="3"/>
  <c r="K135" i="3" s="1"/>
  <c r="L34" i="3"/>
  <c r="I39" i="3"/>
  <c r="I43" i="3" s="1"/>
  <c r="I57" i="3"/>
  <c r="I61" i="3" s="1"/>
  <c r="I171" i="3"/>
  <c r="I175" i="3" s="1"/>
  <c r="J263" i="3"/>
  <c r="J267" i="3" s="1"/>
  <c r="N131" i="3"/>
  <c r="N98" i="3"/>
  <c r="O217" i="3"/>
  <c r="O263" i="3"/>
  <c r="O267" i="3" s="1"/>
  <c r="I237" i="3"/>
  <c r="I241" i="3" s="1"/>
  <c r="I286" i="3"/>
  <c r="I290" i="3" s="1"/>
  <c r="I310" i="3"/>
  <c r="L158" i="3"/>
  <c r="O34" i="3"/>
  <c r="I122" i="3"/>
  <c r="I126" i="3" s="1"/>
  <c r="I140" i="3"/>
  <c r="I144" i="3" s="1"/>
  <c r="I187" i="3"/>
  <c r="I189" i="3" s="1"/>
  <c r="N217" i="3"/>
  <c r="O237" i="3"/>
  <c r="O241" i="3" s="1"/>
  <c r="O286" i="3"/>
  <c r="O310" i="3"/>
  <c r="N171" i="3"/>
  <c r="I84" i="3"/>
  <c r="I88" i="3" s="1"/>
  <c r="I131" i="3"/>
  <c r="I135" i="3" s="1"/>
  <c r="I158" i="3"/>
  <c r="I204" i="3"/>
  <c r="N158" i="3"/>
  <c r="N204" i="3"/>
  <c r="K206" i="3"/>
  <c r="I21" i="4"/>
  <c r="L206" i="3"/>
  <c r="N345" i="3"/>
  <c r="T45" i="4"/>
  <c r="T47" i="4" s="1"/>
  <c r="BW896" i="64"/>
  <c r="M340" i="3" s="1"/>
  <c r="M342" i="3" s="1"/>
  <c r="BV771" i="64"/>
  <c r="BV536" i="64"/>
  <c r="X22" i="1"/>
  <c r="W16" i="1"/>
  <c r="U16" i="1"/>
  <c r="U18" i="1" s="1"/>
  <c r="U30" i="1" s="1"/>
  <c r="X13" i="1"/>
  <c r="X5" i="1"/>
  <c r="X12" i="1"/>
  <c r="X11" i="1"/>
  <c r="K6" i="1"/>
  <c r="S18" i="1"/>
  <c r="W18" i="1"/>
  <c r="W25" i="1"/>
  <c r="W27" i="1" s="1"/>
  <c r="I52" i="3"/>
  <c r="J158" i="3"/>
  <c r="L140" i="3"/>
  <c r="L144" i="3" s="1"/>
  <c r="L166" i="3"/>
  <c r="I15" i="3"/>
  <c r="L15" i="3"/>
  <c r="L98" i="3"/>
  <c r="L100" i="3" s="1"/>
  <c r="L237" i="3"/>
  <c r="L241" i="3" s="1"/>
  <c r="L286" i="3"/>
  <c r="L310" i="3"/>
  <c r="K187" i="3"/>
  <c r="K189" i="3" s="1"/>
  <c r="K204" i="3"/>
  <c r="K254" i="3"/>
  <c r="K258" i="3" s="1"/>
  <c r="J298" i="3"/>
  <c r="N365" i="3"/>
  <c r="K140" i="3"/>
  <c r="K144" i="3" s="1"/>
  <c r="K217" i="3"/>
  <c r="M365" i="3"/>
  <c r="M367" i="3" s="1"/>
  <c r="N237" i="3"/>
  <c r="N263" i="3"/>
  <c r="N286" i="3"/>
  <c r="O48" i="3"/>
  <c r="O52" i="3" s="1"/>
  <c r="O122" i="3"/>
  <c r="O126" i="3" s="1"/>
  <c r="O140" i="3"/>
  <c r="O144" i="3" s="1"/>
  <c r="O166" i="3"/>
  <c r="O254" i="3"/>
  <c r="O365" i="3"/>
  <c r="O367" i="3" s="1"/>
  <c r="O368" i="3" s="1"/>
  <c r="L84" i="3"/>
  <c r="L88" i="3" s="1"/>
  <c r="L204" i="3"/>
  <c r="L298" i="3"/>
  <c r="L365" i="3"/>
  <c r="L367" i="3" s="1"/>
  <c r="L368" i="3" s="1"/>
  <c r="O158" i="3"/>
  <c r="I98" i="3"/>
  <c r="I100" i="3" s="1"/>
  <c r="J48" i="3"/>
  <c r="J52" i="3" s="1"/>
  <c r="J365" i="3"/>
  <c r="J367" i="3" s="1"/>
  <c r="J368" i="3" s="1"/>
  <c r="L254" i="3"/>
  <c r="K79" i="3"/>
  <c r="K310" i="3"/>
  <c r="N122" i="3"/>
  <c r="N140" i="3"/>
  <c r="N166" i="3"/>
  <c r="N254" i="3"/>
  <c r="I108" i="3"/>
  <c r="K122" i="3"/>
  <c r="O15" i="3"/>
  <c r="I298" i="3"/>
  <c r="K34" i="3"/>
  <c r="J39" i="3"/>
  <c r="J43" i="3" s="1"/>
  <c r="J57" i="3"/>
  <c r="J61" i="3" s="1"/>
  <c r="J84" i="3"/>
  <c r="J88" i="3" s="1"/>
  <c r="J108" i="3"/>
  <c r="J217" i="3"/>
  <c r="K15" i="3"/>
  <c r="K39" i="3"/>
  <c r="K43" i="3" s="1"/>
  <c r="K57" i="3"/>
  <c r="K61" i="3" s="1"/>
  <c r="K98" i="3"/>
  <c r="K100" i="3" s="1"/>
  <c r="K237" i="3"/>
  <c r="K241" i="3" s="1"/>
  <c r="K286" i="3"/>
  <c r="I79" i="3"/>
  <c r="J34" i="3"/>
  <c r="J187" i="3"/>
  <c r="J189" i="3" s="1"/>
  <c r="J254" i="3"/>
  <c r="L108" i="3"/>
  <c r="N15" i="3"/>
  <c r="N310" i="3"/>
  <c r="O79" i="3"/>
  <c r="I34" i="3"/>
  <c r="I365" i="3"/>
  <c r="I367" i="3" s="1"/>
  <c r="I368" i="3" s="1"/>
  <c r="AW713" i="64"/>
  <c r="AX713" i="64" s="1"/>
  <c r="AV721" i="64"/>
  <c r="AV734" i="64" s="1"/>
  <c r="R808" i="64"/>
  <c r="X55" i="64"/>
  <c r="AX324" i="64"/>
  <c r="BM432" i="64"/>
  <c r="BM445" i="64" s="1"/>
  <c r="W460" i="64"/>
  <c r="P471" i="64"/>
  <c r="AA471" i="64"/>
  <c r="S808" i="64"/>
  <c r="AF808" i="64"/>
  <c r="H244" i="3"/>
  <c r="H111" i="3"/>
  <c r="BZ536" i="64"/>
  <c r="BZ582" i="64" s="1"/>
  <c r="R599" i="64"/>
  <c r="AE599" i="64"/>
  <c r="AR599" i="64"/>
  <c r="BF599" i="64"/>
  <c r="V734" i="64"/>
  <c r="AM829" i="64"/>
  <c r="BA829" i="64"/>
  <c r="BN829" i="64"/>
  <c r="AU896" i="64"/>
  <c r="AU898" i="64" s="1"/>
  <c r="H275" i="3"/>
  <c r="BE443" i="64"/>
  <c r="AJ719" i="64"/>
  <c r="AJ721" i="64" s="1"/>
  <c r="BF771" i="64"/>
  <c r="W920" i="64"/>
  <c r="W922" i="64" s="1"/>
  <c r="H225" i="3"/>
  <c r="H270" i="3"/>
  <c r="AA29" i="64"/>
  <c r="AA41" i="64" s="1"/>
  <c r="Z144" i="64"/>
  <c r="CF144" i="64"/>
  <c r="AW194" i="64"/>
  <c r="P313" i="64"/>
  <c r="P354" i="64" s="1"/>
  <c r="CF313" i="64"/>
  <c r="CF354" i="64" s="1"/>
  <c r="N460" i="64"/>
  <c r="Z460" i="64"/>
  <c r="BR460" i="64"/>
  <c r="CF460" i="64"/>
  <c r="I721" i="64"/>
  <c r="I734" i="64" s="1"/>
  <c r="AM793" i="64"/>
  <c r="AU885" i="64"/>
  <c r="AU887" i="64" s="1"/>
  <c r="BM924" i="64"/>
  <c r="H64" i="3"/>
  <c r="P127" i="64"/>
  <c r="P144" i="64" s="1"/>
  <c r="AA127" i="64"/>
  <c r="AA144" i="64" s="1"/>
  <c r="AR127" i="64"/>
  <c r="AR144" i="64" s="1"/>
  <c r="AX244" i="64"/>
  <c r="BE414" i="64"/>
  <c r="N471" i="64"/>
  <c r="Z471" i="64"/>
  <c r="BX474" i="64"/>
  <c r="AN506" i="64"/>
  <c r="AN508" i="64" s="1"/>
  <c r="J501" i="64"/>
  <c r="K501" i="64" s="1"/>
  <c r="AE536" i="64"/>
  <c r="AE582" i="64" s="1"/>
  <c r="P636" i="64"/>
  <c r="AA636" i="64"/>
  <c r="AA669" i="64" s="1"/>
  <c r="AW689" i="64"/>
  <c r="BN721" i="64"/>
  <c r="K835" i="64"/>
  <c r="BA924" i="64"/>
  <c r="BN924" i="64"/>
  <c r="CE924" i="64"/>
  <c r="H69" i="3"/>
  <c r="H91" i="3"/>
  <c r="H230" i="3"/>
  <c r="N29" i="64"/>
  <c r="N41" i="64" s="1"/>
  <c r="AN29" i="64"/>
  <c r="AN41" i="64" s="1"/>
  <c r="BN176" i="64"/>
  <c r="BN178" i="64" s="1"/>
  <c r="H200" i="64"/>
  <c r="S200" i="64"/>
  <c r="AF200" i="64"/>
  <c r="U215" i="64"/>
  <c r="U234" i="64" s="1"/>
  <c r="AI215" i="64"/>
  <c r="AI234" i="64" s="1"/>
  <c r="M251" i="64"/>
  <c r="M253" i="64" s="1"/>
  <c r="V251" i="64"/>
  <c r="V253" i="64" s="1"/>
  <c r="BR269" i="64"/>
  <c r="CF269" i="64"/>
  <c r="AS269" i="64"/>
  <c r="BR311" i="64"/>
  <c r="L121" i="3" s="1"/>
  <c r="L122" i="3" s="1"/>
  <c r="AF460" i="64"/>
  <c r="AV460" i="64"/>
  <c r="BI460" i="64"/>
  <c r="BZ460" i="64"/>
  <c r="AN471" i="64"/>
  <c r="P829" i="64"/>
  <c r="AA829" i="64"/>
  <c r="BF829" i="64"/>
  <c r="CF924" i="64"/>
  <c r="H74" i="3"/>
  <c r="AF636" i="64"/>
  <c r="AF669" i="64" s="1"/>
  <c r="K602" i="64"/>
  <c r="P693" i="64"/>
  <c r="P710" i="64" s="1"/>
  <c r="AR693" i="64"/>
  <c r="AR710" i="64" s="1"/>
  <c r="BF693" i="64"/>
  <c r="AJ896" i="64"/>
  <c r="M924" i="64"/>
  <c r="BV924" i="64"/>
  <c r="H17" i="3"/>
  <c r="H147" i="3"/>
  <c r="H127" i="64"/>
  <c r="H144" i="64" s="1"/>
  <c r="BX55" i="64"/>
  <c r="H76" i="64"/>
  <c r="H87" i="64" s="1"/>
  <c r="S76" i="64"/>
  <c r="S87" i="64" s="1"/>
  <c r="AF76" i="64"/>
  <c r="AF87" i="64" s="1"/>
  <c r="AV76" i="64"/>
  <c r="AV87" i="64" s="1"/>
  <c r="BI76" i="64"/>
  <c r="BI87" i="64" s="1"/>
  <c r="BW71" i="64"/>
  <c r="BW479" i="64"/>
  <c r="BA636" i="64"/>
  <c r="BA669" i="64" s="1"/>
  <c r="BN636" i="64"/>
  <c r="BN669" i="64" s="1"/>
  <c r="P721" i="64"/>
  <c r="N924" i="64"/>
  <c r="Z924" i="64"/>
  <c r="AV924" i="64"/>
  <c r="BI924" i="64"/>
  <c r="H220" i="3"/>
  <c r="AZ924" i="64"/>
  <c r="K887" i="64"/>
  <c r="BE924" i="64"/>
  <c r="I924" i="64"/>
  <c r="V924" i="64"/>
  <c r="AI924" i="64"/>
  <c r="BJ885" i="64"/>
  <c r="BJ887" i="64" s="1"/>
  <c r="BK887" i="64" s="1"/>
  <c r="BJ896" i="64"/>
  <c r="N76" i="64"/>
  <c r="N87" i="64" s="1"/>
  <c r="Z76" i="64"/>
  <c r="Z87" i="64" s="1"/>
  <c r="AN76" i="64"/>
  <c r="AN87" i="64" s="1"/>
  <c r="BE76" i="64"/>
  <c r="BE87" i="64" s="1"/>
  <c r="BA232" i="64"/>
  <c r="AZ313" i="64"/>
  <c r="AZ354" i="64" s="1"/>
  <c r="AW404" i="64"/>
  <c r="M460" i="64"/>
  <c r="V460" i="64"/>
  <c r="AM460" i="64"/>
  <c r="BN460" i="64"/>
  <c r="AR471" i="64"/>
  <c r="BU471" i="64"/>
  <c r="J469" i="64"/>
  <c r="S481" i="64"/>
  <c r="S489" i="64" s="1"/>
  <c r="AF481" i="64"/>
  <c r="AF489" i="64" s="1"/>
  <c r="AV481" i="64"/>
  <c r="AV489" i="64" s="1"/>
  <c r="BI481" i="64"/>
  <c r="BI489" i="64" s="1"/>
  <c r="AJ479" i="64"/>
  <c r="AK479" i="64" s="1"/>
  <c r="AX628" i="64"/>
  <c r="K676" i="64"/>
  <c r="BE721" i="64"/>
  <c r="BR721" i="64"/>
  <c r="BR734" i="64" s="1"/>
  <c r="CF721" i="64"/>
  <c r="CF734" i="64" s="1"/>
  <c r="AI829" i="64"/>
  <c r="BW885" i="64"/>
  <c r="AR896" i="64"/>
  <c r="AR898" i="64" s="1"/>
  <c r="BI29" i="64"/>
  <c r="BI41" i="64" s="1"/>
  <c r="BM215" i="64"/>
  <c r="BM234" i="64" s="1"/>
  <c r="AV269" i="64"/>
  <c r="BI269" i="64"/>
  <c r="R519" i="64"/>
  <c r="AF519" i="64"/>
  <c r="AV519" i="64"/>
  <c r="BI519" i="64"/>
  <c r="BZ519" i="64"/>
  <c r="AN536" i="64"/>
  <c r="AN582" i="64" s="1"/>
  <c r="BE536" i="64"/>
  <c r="BE582" i="64" s="1"/>
  <c r="BR536" i="64"/>
  <c r="BR582" i="64" s="1"/>
  <c r="CF536" i="64"/>
  <c r="CF582" i="64" s="1"/>
  <c r="AK672" i="64"/>
  <c r="P771" i="64"/>
  <c r="P795" i="64" s="1"/>
  <c r="AE771" i="64"/>
  <c r="AS771" i="64"/>
  <c r="M32" i="4" s="1"/>
  <c r="AJ806" i="64"/>
  <c r="AJ808" i="64" s="1"/>
  <c r="AK808" i="64" s="1"/>
  <c r="BW806" i="64"/>
  <c r="AX860" i="64"/>
  <c r="AN898" i="64"/>
  <c r="BW905" i="64"/>
  <c r="J896" i="64"/>
  <c r="AK64" i="64"/>
  <c r="AV127" i="64"/>
  <c r="AV144" i="64" s="1"/>
  <c r="BZ127" i="64"/>
  <c r="BZ144" i="64" s="1"/>
  <c r="AX187" i="64"/>
  <c r="BA373" i="64"/>
  <c r="BX457" i="64"/>
  <c r="AM481" i="64"/>
  <c r="AM489" i="64" s="1"/>
  <c r="BA481" i="64"/>
  <c r="BA489" i="64" s="1"/>
  <c r="BN481" i="64"/>
  <c r="BN489" i="64" s="1"/>
  <c r="AN599" i="64"/>
  <c r="BE599" i="64"/>
  <c r="CF599" i="64"/>
  <c r="R693" i="64"/>
  <c r="R710" i="64" s="1"/>
  <c r="AE693" i="64"/>
  <c r="AE710" i="64" s="1"/>
  <c r="AS693" i="64"/>
  <c r="BW691" i="64"/>
  <c r="M253" i="3" s="1"/>
  <c r="AW690" i="64"/>
  <c r="U898" i="64"/>
  <c r="W885" i="64"/>
  <c r="W887" i="64" s="1"/>
  <c r="X887" i="64" s="1"/>
  <c r="AF29" i="64"/>
  <c r="AF41" i="64" s="1"/>
  <c r="X74" i="64"/>
  <c r="BJ205" i="64"/>
  <c r="AW224" i="64"/>
  <c r="S375" i="64"/>
  <c r="S416" i="64" s="1"/>
  <c r="AN414" i="64"/>
  <c r="AA414" i="64"/>
  <c r="P432" i="64"/>
  <c r="P445" i="64" s="1"/>
  <c r="AA432" i="64"/>
  <c r="AA445" i="64" s="1"/>
  <c r="AN432" i="64"/>
  <c r="AN445" i="64" s="1"/>
  <c r="BE432" i="64"/>
  <c r="BR432" i="64"/>
  <c r="BR445" i="64" s="1"/>
  <c r="CF432" i="64"/>
  <c r="CF445" i="64" s="1"/>
  <c r="AR115" i="64"/>
  <c r="H29" i="64"/>
  <c r="H41" i="64" s="1"/>
  <c r="S29" i="64"/>
  <c r="S41" i="64" s="1"/>
  <c r="AK55" i="64"/>
  <c r="U76" i="64"/>
  <c r="U87" i="64" s="1"/>
  <c r="AI76" i="64"/>
  <c r="AI87" i="64" s="1"/>
  <c r="AZ76" i="64"/>
  <c r="AZ87" i="64" s="1"/>
  <c r="BM76" i="64"/>
  <c r="BM87" i="64" s="1"/>
  <c r="BZ76" i="64"/>
  <c r="BZ87" i="64" s="1"/>
  <c r="I127" i="64"/>
  <c r="I144" i="64" s="1"/>
  <c r="BA176" i="64"/>
  <c r="BA178" i="64" s="1"/>
  <c r="AW406" i="64"/>
  <c r="BX477" i="64"/>
  <c r="AF506" i="64"/>
  <c r="AF508" i="64" s="1"/>
  <c r="K56" i="4" s="1"/>
  <c r="AN519" i="64"/>
  <c r="BE519" i="64"/>
  <c r="CF519" i="64"/>
  <c r="AF599" i="64"/>
  <c r="BV599" i="64"/>
  <c r="BE636" i="64"/>
  <c r="BE669" i="64" s="1"/>
  <c r="BR636" i="64"/>
  <c r="BR669" i="64" s="1"/>
  <c r="CF636" i="64"/>
  <c r="CF669" i="64" s="1"/>
  <c r="S721" i="64"/>
  <c r="S734" i="64" s="1"/>
  <c r="AW885" i="64"/>
  <c r="AW887" i="64" s="1"/>
  <c r="R896" i="64"/>
  <c r="R898" i="64" s="1"/>
  <c r="R924" i="64" s="1"/>
  <c r="AA896" i="64"/>
  <c r="AA898" i="64" s="1"/>
  <c r="AM896" i="64"/>
  <c r="AM898" i="64" s="1"/>
  <c r="AE898" i="64"/>
  <c r="BA29" i="64"/>
  <c r="BA41" i="64" s="1"/>
  <c r="V29" i="64"/>
  <c r="V41" i="64" s="1"/>
  <c r="U29" i="64"/>
  <c r="U41" i="64" s="1"/>
  <c r="AZ29" i="64"/>
  <c r="AZ41" i="64" s="1"/>
  <c r="BU29" i="64"/>
  <c r="BU41" i="64" s="1"/>
  <c r="J27" i="64"/>
  <c r="K27" i="64" s="1"/>
  <c r="S67" i="64"/>
  <c r="P76" i="64"/>
  <c r="P87" i="64" s="1"/>
  <c r="AR76" i="64"/>
  <c r="AR87" i="64" s="1"/>
  <c r="BF76" i="64"/>
  <c r="CF76" i="64"/>
  <c r="CF87" i="64" s="1"/>
  <c r="N115" i="64"/>
  <c r="Z115" i="64"/>
  <c r="AI127" i="64"/>
  <c r="AI144" i="64" s="1"/>
  <c r="AZ127" i="64"/>
  <c r="AZ144" i="64" s="1"/>
  <c r="BM127" i="64"/>
  <c r="BM144" i="64" s="1"/>
  <c r="AU125" i="64"/>
  <c r="AU127" i="64" s="1"/>
  <c r="BU176" i="64"/>
  <c r="BU178" i="64" s="1"/>
  <c r="BE176" i="64"/>
  <c r="BE178" i="64" s="1"/>
  <c r="AW175" i="64"/>
  <c r="M200" i="64"/>
  <c r="V200" i="64"/>
  <c r="S313" i="64"/>
  <c r="AU778" i="64"/>
  <c r="AW778" i="64" s="1"/>
  <c r="AX778" i="64" s="1"/>
  <c r="AR793" i="64"/>
  <c r="BW27" i="64"/>
  <c r="R76" i="64"/>
  <c r="R87" i="64" s="1"/>
  <c r="AE76" i="64"/>
  <c r="AE87" i="64" s="1"/>
  <c r="AS76" i="64"/>
  <c r="AS87" i="64" s="1"/>
  <c r="BV76" i="64"/>
  <c r="BV87" i="64" s="1"/>
  <c r="AM127" i="64"/>
  <c r="AM144" i="64" s="1"/>
  <c r="BA127" i="64"/>
  <c r="BA144" i="64" s="1"/>
  <c r="BN127" i="64"/>
  <c r="BN144" i="64" s="1"/>
  <c r="N269" i="64"/>
  <c r="Z269" i="64"/>
  <c r="Z506" i="64"/>
  <c r="Z508" i="64" s="1"/>
  <c r="BF506" i="64"/>
  <c r="BF508" i="64" s="1"/>
  <c r="O56" i="4" s="1"/>
  <c r="AX834" i="64"/>
  <c r="AW834" i="64"/>
  <c r="H922" i="64"/>
  <c r="K922" i="64" s="1"/>
  <c r="K920" i="64"/>
  <c r="BU793" i="64"/>
  <c r="AW833" i="64"/>
  <c r="AX833" i="64"/>
  <c r="W76" i="64"/>
  <c r="AV115" i="64"/>
  <c r="BA113" i="64"/>
  <c r="BA115" i="64" s="1"/>
  <c r="BJ603" i="64"/>
  <c r="BJ605" i="64" s="1"/>
  <c r="W905" i="64"/>
  <c r="W907" i="64" s="1"/>
  <c r="X907" i="64" s="1"/>
  <c r="P29" i="64"/>
  <c r="P39" i="64" s="1"/>
  <c r="P41" i="64" s="1"/>
  <c r="M76" i="64"/>
  <c r="M87" i="64" s="1"/>
  <c r="V76" i="64"/>
  <c r="V87" i="64" s="1"/>
  <c r="AM76" i="64"/>
  <c r="AM87" i="64" s="1"/>
  <c r="I115" i="64"/>
  <c r="BE113" i="64"/>
  <c r="BH127" i="64"/>
  <c r="BH144" i="64" s="1"/>
  <c r="BV127" i="64"/>
  <c r="BV144" i="64" s="1"/>
  <c r="U373" i="64"/>
  <c r="W361" i="64"/>
  <c r="X361" i="64" s="1"/>
  <c r="AW463" i="64"/>
  <c r="AW464" i="64" s="1"/>
  <c r="CF200" i="64"/>
  <c r="N215" i="64"/>
  <c r="N234" i="64" s="1"/>
  <c r="Z215" i="64"/>
  <c r="Z234" i="64" s="1"/>
  <c r="AN215" i="64"/>
  <c r="AN234" i="64" s="1"/>
  <c r="BR215" i="64"/>
  <c r="BR234" i="64" s="1"/>
  <c r="CF215" i="64"/>
  <c r="CF234" i="64" s="1"/>
  <c r="BH232" i="64"/>
  <c r="X238" i="64"/>
  <c r="AU238" i="64"/>
  <c r="AU240" i="64" s="1"/>
  <c r="AX240" i="64" s="1"/>
  <c r="AA251" i="64"/>
  <c r="AA253" i="64" s="1"/>
  <c r="BF251" i="64"/>
  <c r="BF253" i="64" s="1"/>
  <c r="BU251" i="64"/>
  <c r="BU253" i="64" s="1"/>
  <c r="AR269" i="64"/>
  <c r="BF269" i="64"/>
  <c r="BU269" i="64"/>
  <c r="AV313" i="64"/>
  <c r="AV354" i="64" s="1"/>
  <c r="BZ313" i="64"/>
  <c r="V375" i="64"/>
  <c r="V416" i="64" s="1"/>
  <c r="BR373" i="64"/>
  <c r="AN373" i="64"/>
  <c r="AN375" i="64" s="1"/>
  <c r="N432" i="64"/>
  <c r="N445" i="64" s="1"/>
  <c r="BA432" i="64"/>
  <c r="BN432" i="64"/>
  <c r="BN445" i="64" s="1"/>
  <c r="I460" i="64"/>
  <c r="U460" i="64"/>
  <c r="AI460" i="64"/>
  <c r="AZ460" i="64"/>
  <c r="AM471" i="64"/>
  <c r="BA471" i="64"/>
  <c r="AJ469" i="64"/>
  <c r="AK469" i="64" s="1"/>
  <c r="BK475" i="64"/>
  <c r="P506" i="64"/>
  <c r="P508" i="64" s="1"/>
  <c r="AA506" i="64"/>
  <c r="AA508" i="64" s="1"/>
  <c r="N519" i="64"/>
  <c r="AR519" i="64"/>
  <c r="BF519" i="64"/>
  <c r="BU519" i="64"/>
  <c r="BI536" i="64"/>
  <c r="BI582" i="64" s="1"/>
  <c r="AZ636" i="64"/>
  <c r="AZ669" i="64" s="1"/>
  <c r="BM636" i="64"/>
  <c r="BM669" i="64" s="1"/>
  <c r="CF693" i="64"/>
  <c r="CF710" i="64" s="1"/>
  <c r="W750" i="64"/>
  <c r="W752" i="64" s="1"/>
  <c r="BJ813" i="64"/>
  <c r="BK813" i="64" s="1"/>
  <c r="BE829" i="64"/>
  <c r="BR829" i="64"/>
  <c r="J835" i="64"/>
  <c r="J837" i="64" s="1"/>
  <c r="J198" i="64"/>
  <c r="K198" i="64" s="1"/>
  <c r="AU195" i="64"/>
  <c r="AW195" i="64" s="1"/>
  <c r="P519" i="64"/>
  <c r="AE519" i="64"/>
  <c r="BH519" i="64"/>
  <c r="BV519" i="64"/>
  <c r="AK602" i="64"/>
  <c r="W610" i="64"/>
  <c r="X610" i="64" s="1"/>
  <c r="H771" i="64"/>
  <c r="H795" i="64" s="1"/>
  <c r="S771" i="64"/>
  <c r="AI771" i="64"/>
  <c r="M771" i="64"/>
  <c r="M795" i="64" s="1"/>
  <c r="V771" i="64"/>
  <c r="BX798" i="64"/>
  <c r="J806" i="64"/>
  <c r="J808" i="64" s="1"/>
  <c r="AW806" i="64"/>
  <c r="AW808" i="64" s="1"/>
  <c r="BJ835" i="64"/>
  <c r="BJ837" i="64" s="1"/>
  <c r="W856" i="64"/>
  <c r="W863" i="64" s="1"/>
  <c r="W865" i="64" s="1"/>
  <c r="W866" i="64" s="1"/>
  <c r="W891" i="64"/>
  <c r="X891" i="64" s="1"/>
  <c r="AM905" i="64"/>
  <c r="AM907" i="64" s="1"/>
  <c r="BF375" i="64"/>
  <c r="BF416" i="64" s="1"/>
  <c r="BV481" i="64"/>
  <c r="BV489" i="64" s="1"/>
  <c r="I536" i="64"/>
  <c r="I582" i="64" s="1"/>
  <c r="H721" i="64"/>
  <c r="H734" i="64" s="1"/>
  <c r="BU200" i="64"/>
  <c r="S215" i="64"/>
  <c r="S234" i="64" s="1"/>
  <c r="AV215" i="64"/>
  <c r="AV234" i="64" s="1"/>
  <c r="BI215" i="64"/>
  <c r="BI234" i="64" s="1"/>
  <c r="BZ215" i="64"/>
  <c r="BZ234" i="64" s="1"/>
  <c r="AW310" i="64"/>
  <c r="AW429" i="64"/>
  <c r="AK716" i="64"/>
  <c r="W806" i="64"/>
  <c r="W808" i="64" s="1"/>
  <c r="BJ806" i="64"/>
  <c r="BJ808" i="64" s="1"/>
  <c r="AX894" i="64"/>
  <c r="AM251" i="64"/>
  <c r="AM253" i="64" s="1"/>
  <c r="AM269" i="64"/>
  <c r="BA269" i="64"/>
  <c r="AE313" i="64"/>
  <c r="AE354" i="64" s="1"/>
  <c r="BF313" i="64"/>
  <c r="R311" i="64"/>
  <c r="R313" i="64" s="1"/>
  <c r="R354" i="64" s="1"/>
  <c r="AF375" i="64"/>
  <c r="AF416" i="64" s="1"/>
  <c r="BZ375" i="64"/>
  <c r="BZ416" i="64" s="1"/>
  <c r="BX448" i="64"/>
  <c r="R460" i="64"/>
  <c r="AE460" i="64"/>
  <c r="AS460" i="64"/>
  <c r="BV460" i="64"/>
  <c r="W469" i="64"/>
  <c r="X469" i="64" s="1"/>
  <c r="AK474" i="64"/>
  <c r="I481" i="64"/>
  <c r="AK477" i="64"/>
  <c r="BM506" i="64"/>
  <c r="BM508" i="64" s="1"/>
  <c r="AX523" i="64"/>
  <c r="AA536" i="64"/>
  <c r="AA582" i="64" s="1"/>
  <c r="AR536" i="64"/>
  <c r="AR582" i="64" s="1"/>
  <c r="BF536" i="64"/>
  <c r="BF582" i="64" s="1"/>
  <c r="AS636" i="64"/>
  <c r="AS669" i="64" s="1"/>
  <c r="BH636" i="64"/>
  <c r="BH669" i="64" s="1"/>
  <c r="AU627" i="64"/>
  <c r="AW627" i="64" s="1"/>
  <c r="N771" i="64"/>
  <c r="N795" i="64" s="1"/>
  <c r="AA771" i="64"/>
  <c r="AA905" i="64"/>
  <c r="AA907" i="64" s="1"/>
  <c r="Z29" i="64"/>
  <c r="Z41" i="64" s="1"/>
  <c r="AW44" i="64"/>
  <c r="AX44" i="64" s="1"/>
  <c r="I76" i="64"/>
  <c r="I87" i="64" s="1"/>
  <c r="AX248" i="64"/>
  <c r="AW248" i="64"/>
  <c r="AW249" i="64" s="1"/>
  <c r="AJ27" i="64"/>
  <c r="AK27" i="64" s="1"/>
  <c r="AS127" i="64"/>
  <c r="AS144" i="64" s="1"/>
  <c r="W125" i="64"/>
  <c r="Z523" i="64"/>
  <c r="Z524" i="64" s="1"/>
  <c r="Z536" i="64" s="1"/>
  <c r="Z582" i="64" s="1"/>
  <c r="X523" i="64"/>
  <c r="J691" i="64"/>
  <c r="K691" i="64" s="1"/>
  <c r="K688" i="64"/>
  <c r="X737" i="64"/>
  <c r="Z737" i="64"/>
  <c r="AR29" i="64"/>
  <c r="AR41" i="64" s="1"/>
  <c r="BJ27" i="64"/>
  <c r="BK27" i="64" s="1"/>
  <c r="R29" i="64"/>
  <c r="R41" i="64" s="1"/>
  <c r="AS29" i="64"/>
  <c r="AS41" i="64" s="1"/>
  <c r="X56" i="64"/>
  <c r="BX56" i="64"/>
  <c r="AA67" i="64"/>
  <c r="AM67" i="64"/>
  <c r="BA67" i="64"/>
  <c r="AW257" i="64"/>
  <c r="AX257" i="64"/>
  <c r="AX365" i="64"/>
  <c r="AW365" i="64"/>
  <c r="BU76" i="64"/>
  <c r="AW441" i="64"/>
  <c r="AX441" i="64" s="1"/>
  <c r="AW20" i="64"/>
  <c r="AX26" i="64"/>
  <c r="AJ50" i="64"/>
  <c r="AJ52" i="64" s="1"/>
  <c r="AK52" i="64" s="1"/>
  <c r="BH67" i="64"/>
  <c r="N67" i="64"/>
  <c r="AN67" i="64"/>
  <c r="K73" i="64"/>
  <c r="J74" i="64"/>
  <c r="K74" i="64" s="1"/>
  <c r="BH176" i="64"/>
  <c r="BH178" i="64" s="1"/>
  <c r="BJ162" i="64"/>
  <c r="BK162" i="64" s="1"/>
  <c r="AW218" i="64"/>
  <c r="AX218" i="64" s="1"/>
  <c r="AW334" i="64"/>
  <c r="AX334" i="64" s="1"/>
  <c r="AK615" i="64"/>
  <c r="AJ617" i="64"/>
  <c r="AJ619" i="64" s="1"/>
  <c r="AK619" i="64" s="1"/>
  <c r="S127" i="64"/>
  <c r="S144" i="64" s="1"/>
  <c r="AF127" i="64"/>
  <c r="AF144" i="64" s="1"/>
  <c r="BJ190" i="64"/>
  <c r="BK190" i="64" s="1"/>
  <c r="J190" i="64"/>
  <c r="K190" i="64" s="1"/>
  <c r="AV200" i="64"/>
  <c r="BI200" i="64"/>
  <c r="BZ200" i="64"/>
  <c r="W198" i="64"/>
  <c r="W200" i="64" s="1"/>
  <c r="P215" i="64"/>
  <c r="P234" i="64" s="1"/>
  <c r="AA215" i="64"/>
  <c r="AA234" i="64" s="1"/>
  <c r="AR215" i="64"/>
  <c r="AR234" i="64" s="1"/>
  <c r="BF215" i="64"/>
  <c r="BF234" i="64" s="1"/>
  <c r="BU215" i="64"/>
  <c r="BU234" i="64" s="1"/>
  <c r="K213" i="64"/>
  <c r="AS251" i="64"/>
  <c r="AS253" i="64" s="1"/>
  <c r="BH251" i="64"/>
  <c r="BV251" i="64"/>
  <c r="BV253" i="64" s="1"/>
  <c r="I269" i="64"/>
  <c r="AI269" i="64"/>
  <c r="AZ269" i="64"/>
  <c r="BM269" i="64"/>
  <c r="AF313" i="64"/>
  <c r="BV313" i="64"/>
  <c r="BV354" i="64" s="1"/>
  <c r="AH313" i="64"/>
  <c r="AH354" i="64" s="1"/>
  <c r="Z375" i="64"/>
  <c r="Z416" i="64" s="1"/>
  <c r="CF375" i="64"/>
  <c r="CF416" i="64" s="1"/>
  <c r="AR373" i="64"/>
  <c r="AR375" i="64" s="1"/>
  <c r="AV432" i="64"/>
  <c r="AV445" i="64" s="1"/>
  <c r="BI432" i="64"/>
  <c r="BI445" i="64" s="1"/>
  <c r="BZ432" i="64"/>
  <c r="BZ445" i="64" s="1"/>
  <c r="BM481" i="64"/>
  <c r="BM489" i="64" s="1"/>
  <c r="V599" i="64"/>
  <c r="AZ599" i="64"/>
  <c r="BM599" i="64"/>
  <c r="BK749" i="64"/>
  <c r="BJ750" i="64"/>
  <c r="BJ752" i="64" s="1"/>
  <c r="AU85" i="64"/>
  <c r="AA115" i="64"/>
  <c r="BJ96" i="64"/>
  <c r="BK96" i="64" s="1"/>
  <c r="J96" i="64"/>
  <c r="K96" i="64" s="1"/>
  <c r="AJ198" i="64"/>
  <c r="AJ200" i="64" s="1"/>
  <c r="AK200" i="64" s="1"/>
  <c r="R215" i="64"/>
  <c r="R234" i="64" s="1"/>
  <c r="AE215" i="64"/>
  <c r="AE234" i="64" s="1"/>
  <c r="AS215" i="64"/>
  <c r="AS234" i="64" s="1"/>
  <c r="AF251" i="64"/>
  <c r="AF253" i="64" s="1"/>
  <c r="AV251" i="64"/>
  <c r="AV253" i="64" s="1"/>
  <c r="BZ251" i="64"/>
  <c r="BZ253" i="64" s="1"/>
  <c r="M269" i="64"/>
  <c r="V269" i="64"/>
  <c r="M432" i="64"/>
  <c r="M445" i="64" s="1"/>
  <c r="V432" i="64"/>
  <c r="V445" i="64" s="1"/>
  <c r="AI432" i="64"/>
  <c r="AI445" i="64" s="1"/>
  <c r="AZ432" i="64"/>
  <c r="AZ445" i="64" s="1"/>
  <c r="AX442" i="64"/>
  <c r="AZ519" i="64"/>
  <c r="R98" i="64"/>
  <c r="R115" i="64" s="1"/>
  <c r="AE98" i="64"/>
  <c r="AE115" i="64" s="1"/>
  <c r="AS98" i="64"/>
  <c r="AS115" i="64" s="1"/>
  <c r="BV98" i="64"/>
  <c r="BV115" i="64" s="1"/>
  <c r="M127" i="64"/>
  <c r="M144" i="64" s="1"/>
  <c r="V127" i="64"/>
  <c r="V144" i="64" s="1"/>
  <c r="AH176" i="64"/>
  <c r="M313" i="64"/>
  <c r="M354" i="64" s="1"/>
  <c r="AM311" i="64"/>
  <c r="AM313" i="64" s="1"/>
  <c r="AM354" i="64" s="1"/>
  <c r="BV375" i="64"/>
  <c r="BV416" i="64" s="1"/>
  <c r="AA375" i="64"/>
  <c r="AJ425" i="64"/>
  <c r="AK425" i="64" s="1"/>
  <c r="AJ443" i="64"/>
  <c r="AK443" i="64" s="1"/>
  <c r="BA443" i="64"/>
  <c r="BU603" i="64"/>
  <c r="BU605" i="64" s="1"/>
  <c r="BW602" i="64"/>
  <c r="BW603" i="64" s="1"/>
  <c r="BX608" i="64"/>
  <c r="M721" i="64"/>
  <c r="M734" i="64" s="1"/>
  <c r="AE721" i="64"/>
  <c r="AE734" i="64" s="1"/>
  <c r="J750" i="64"/>
  <c r="K750" i="64" s="1"/>
  <c r="K749" i="64"/>
  <c r="BJ769" i="64"/>
  <c r="BK769" i="64" s="1"/>
  <c r="BK766" i="64"/>
  <c r="BW73" i="64"/>
  <c r="BW74" i="64" s="1"/>
  <c r="AK90" i="64"/>
  <c r="AN200" i="64"/>
  <c r="J580" i="64"/>
  <c r="K580" i="64" s="1"/>
  <c r="K578" i="64"/>
  <c r="W603" i="64"/>
  <c r="W605" i="64" s="1"/>
  <c r="X602" i="64"/>
  <c r="AX648" i="64"/>
  <c r="AW648" i="64"/>
  <c r="BF127" i="64"/>
  <c r="BF144" i="64" s="1"/>
  <c r="J125" i="64"/>
  <c r="K125" i="64" s="1"/>
  <c r="AK156" i="64"/>
  <c r="BI176" i="64"/>
  <c r="BI178" i="64" s="1"/>
  <c r="AW187" i="64"/>
  <c r="AW190" i="64" s="1"/>
  <c r="R200" i="64"/>
  <c r="AE200" i="64"/>
  <c r="AR200" i="64"/>
  <c r="M215" i="64"/>
  <c r="M234" i="64" s="1"/>
  <c r="V215" i="64"/>
  <c r="V234" i="64" s="1"/>
  <c r="AM215" i="64"/>
  <c r="AM234" i="64" s="1"/>
  <c r="BA215" i="64"/>
  <c r="BJ245" i="64"/>
  <c r="BK245" i="64" s="1"/>
  <c r="N251" i="64"/>
  <c r="N253" i="64" s="1"/>
  <c r="Z251" i="64"/>
  <c r="Z253" i="64" s="1"/>
  <c r="BE251" i="64"/>
  <c r="BE253" i="64" s="1"/>
  <c r="BR251" i="64"/>
  <c r="BR253" i="64" s="1"/>
  <c r="CF251" i="64"/>
  <c r="CF253" i="64" s="1"/>
  <c r="R269" i="64"/>
  <c r="AE269" i="64"/>
  <c r="BV269" i="64"/>
  <c r="AA313" i="64"/>
  <c r="AA354" i="64" s="1"/>
  <c r="N313" i="64"/>
  <c r="N354" i="64" s="1"/>
  <c r="BR352" i="64"/>
  <c r="AM373" i="64"/>
  <c r="AM375" i="64" s="1"/>
  <c r="AE432" i="64"/>
  <c r="AE445" i="64" s="1"/>
  <c r="AR432" i="64"/>
  <c r="AR445" i="64" s="1"/>
  <c r="BF432" i="64"/>
  <c r="BF445" i="64" s="1"/>
  <c r="BU432" i="64"/>
  <c r="BU445" i="64" s="1"/>
  <c r="X454" i="64"/>
  <c r="X457" i="64"/>
  <c r="BK496" i="64"/>
  <c r="BR808" i="64"/>
  <c r="AJ920" i="64"/>
  <c r="AJ922" i="64" s="1"/>
  <c r="K458" i="64"/>
  <c r="BE471" i="64"/>
  <c r="BR471" i="64"/>
  <c r="CF471" i="64"/>
  <c r="N481" i="64"/>
  <c r="N489" i="64" s="1"/>
  <c r="Z481" i="64"/>
  <c r="Z489" i="64" s="1"/>
  <c r="AV506" i="64"/>
  <c r="AV508" i="64" s="1"/>
  <c r="BI506" i="64"/>
  <c r="BI508" i="64" s="1"/>
  <c r="BZ506" i="64"/>
  <c r="BZ508" i="64" s="1"/>
  <c r="T56" i="4" s="1"/>
  <c r="AI519" i="64"/>
  <c r="BM519" i="64"/>
  <c r="R536" i="64"/>
  <c r="R582" i="64" s="1"/>
  <c r="AF536" i="64"/>
  <c r="AF582" i="64" s="1"/>
  <c r="BA599" i="64"/>
  <c r="BU636" i="64"/>
  <c r="BW686" i="64"/>
  <c r="BJ691" i="64"/>
  <c r="BK691" i="64" s="1"/>
  <c r="AM693" i="64"/>
  <c r="AM710" i="64" s="1"/>
  <c r="R721" i="64"/>
  <c r="R734" i="64" s="1"/>
  <c r="BI721" i="64"/>
  <c r="BI734" i="64" s="1"/>
  <c r="BZ721" i="64"/>
  <c r="BZ734" i="64" s="1"/>
  <c r="AF721" i="64"/>
  <c r="AF734" i="64" s="1"/>
  <c r="R771" i="64"/>
  <c r="R795" i="64" s="1"/>
  <c r="AF771" i="64"/>
  <c r="AV771" i="64"/>
  <c r="AV795" i="64" s="1"/>
  <c r="BI771" i="64"/>
  <c r="BI795" i="64" s="1"/>
  <c r="BZ771" i="64"/>
  <c r="X766" i="64"/>
  <c r="BE793" i="64"/>
  <c r="BX801" i="64"/>
  <c r="AW848" i="64"/>
  <c r="AN905" i="64"/>
  <c r="AN907" i="64" s="1"/>
  <c r="X458" i="64"/>
  <c r="AZ506" i="64"/>
  <c r="AZ508" i="64" s="1"/>
  <c r="BV506" i="64"/>
  <c r="BV508" i="64" s="1"/>
  <c r="I519" i="64"/>
  <c r="U519" i="64"/>
  <c r="H536" i="64"/>
  <c r="H582" i="64" s="1"/>
  <c r="AW545" i="64"/>
  <c r="N599" i="64"/>
  <c r="BJ624" i="64"/>
  <c r="BK624" i="64" s="1"/>
  <c r="AU624" i="64"/>
  <c r="AV636" i="64"/>
  <c r="AV669" i="64" s="1"/>
  <c r="BZ636" i="64"/>
  <c r="BZ669" i="64" s="1"/>
  <c r="BX684" i="64"/>
  <c r="AF693" i="64"/>
  <c r="AV693" i="64"/>
  <c r="AV710" i="64" s="1"/>
  <c r="BI693" i="64"/>
  <c r="BI710" i="64" s="1"/>
  <c r="BZ693" i="64"/>
  <c r="BM721" i="64"/>
  <c r="BM734" i="64" s="1"/>
  <c r="AZ771" i="64"/>
  <c r="AZ795" i="64" s="1"/>
  <c r="AA793" i="64"/>
  <c r="I829" i="64"/>
  <c r="S829" i="64"/>
  <c r="AU819" i="64"/>
  <c r="N829" i="64"/>
  <c r="AU464" i="64"/>
  <c r="BJ469" i="64"/>
  <c r="BK469" i="64" s="1"/>
  <c r="AV471" i="64"/>
  <c r="AS489" i="64"/>
  <c r="AK496" i="64"/>
  <c r="I506" i="64"/>
  <c r="I508" i="64" s="1"/>
  <c r="U506" i="64"/>
  <c r="U508" i="64" s="1"/>
  <c r="AU501" i="64"/>
  <c r="N536" i="64"/>
  <c r="N582" i="64" s="1"/>
  <c r="BA536" i="64"/>
  <c r="BA582" i="64" s="1"/>
  <c r="J588" i="64"/>
  <c r="K588" i="64" s="1"/>
  <c r="I599" i="64"/>
  <c r="AK603" i="64"/>
  <c r="BK622" i="64"/>
  <c r="U636" i="64"/>
  <c r="U669" i="64" s="1"/>
  <c r="AI636" i="64"/>
  <c r="AI669" i="64" s="1"/>
  <c r="R636" i="64"/>
  <c r="R669" i="64" s="1"/>
  <c r="I693" i="64"/>
  <c r="I710" i="64" s="1"/>
  <c r="U693" i="64"/>
  <c r="U710" i="64" s="1"/>
  <c r="AI693" i="64"/>
  <c r="AI710" i="64" s="1"/>
  <c r="AZ693" i="64"/>
  <c r="AZ710" i="64" s="1"/>
  <c r="BM693" i="64"/>
  <c r="BM710" i="64" s="1"/>
  <c r="X749" i="64"/>
  <c r="Z763" i="64"/>
  <c r="BH793" i="64"/>
  <c r="AN808" i="64"/>
  <c r="BA808" i="64"/>
  <c r="BX799" i="64"/>
  <c r="AJ813" i="64"/>
  <c r="AK813" i="64" s="1"/>
  <c r="J819" i="64"/>
  <c r="K819" i="64" s="1"/>
  <c r="AV829" i="64"/>
  <c r="BI829" i="64"/>
  <c r="BZ829" i="64"/>
  <c r="AJ867" i="64"/>
  <c r="M471" i="64"/>
  <c r="V471" i="64"/>
  <c r="AM506" i="64"/>
  <c r="AM508" i="64" s="1"/>
  <c r="CF506" i="64"/>
  <c r="CF508" i="64" s="1"/>
  <c r="AV599" i="64"/>
  <c r="BI599" i="64"/>
  <c r="BZ599" i="64"/>
  <c r="S599" i="64"/>
  <c r="BW624" i="64"/>
  <c r="M636" i="64"/>
  <c r="M669" i="64" s="1"/>
  <c r="V636" i="64"/>
  <c r="V669" i="64" s="1"/>
  <c r="AW691" i="64"/>
  <c r="BN708" i="64"/>
  <c r="AA721" i="64"/>
  <c r="AA734" i="64" s="1"/>
  <c r="AR721" i="64"/>
  <c r="AR734" i="64" s="1"/>
  <c r="AS721" i="64"/>
  <c r="AS734" i="64" s="1"/>
  <c r="BM829" i="64"/>
  <c r="AW874" i="64"/>
  <c r="AU910" i="64"/>
  <c r="AU911" i="64" s="1"/>
  <c r="K884" i="64"/>
  <c r="AJ39" i="64"/>
  <c r="AK39" i="64" s="1"/>
  <c r="AX383" i="64"/>
  <c r="AX304" i="64"/>
  <c r="AX361" i="64"/>
  <c r="BJ764" i="64"/>
  <c r="BK764" i="64" s="1"/>
  <c r="AJ9" i="64"/>
  <c r="AK9" i="64" s="1"/>
  <c r="AK7" i="64"/>
  <c r="AX16" i="64"/>
  <c r="BR29" i="64"/>
  <c r="BR41" i="64" s="1"/>
  <c r="CF29" i="64"/>
  <c r="CF41" i="64" s="1"/>
  <c r="AU27" i="64"/>
  <c r="BF29" i="64"/>
  <c r="BF41" i="64" s="1"/>
  <c r="AW32" i="64"/>
  <c r="AX49" i="64"/>
  <c r="BR67" i="64"/>
  <c r="BE67" i="64"/>
  <c r="X70" i="64"/>
  <c r="BM98" i="64"/>
  <c r="BM115" i="64" s="1"/>
  <c r="J120" i="64"/>
  <c r="K120" i="64" s="1"/>
  <c r="BI127" i="64"/>
  <c r="BI144" i="64" s="1"/>
  <c r="X123" i="64"/>
  <c r="AX123" i="64"/>
  <c r="J142" i="64"/>
  <c r="K142" i="64" s="1"/>
  <c r="AX151" i="64"/>
  <c r="AX157" i="64"/>
  <c r="AM176" i="64"/>
  <c r="AM178" i="64" s="1"/>
  <c r="AX161" i="64"/>
  <c r="AW168" i="64"/>
  <c r="K181" i="64"/>
  <c r="BK181" i="64"/>
  <c r="W182" i="64"/>
  <c r="W184" i="64" s="1"/>
  <c r="BH200" i="64"/>
  <c r="BV200" i="64"/>
  <c r="AW192" i="64"/>
  <c r="BE215" i="64"/>
  <c r="AX210" i="64"/>
  <c r="AX228" i="64"/>
  <c r="AW231" i="64"/>
  <c r="AX231" i="64" s="1"/>
  <c r="AA269" i="64"/>
  <c r="W294" i="64"/>
  <c r="X294" i="64" s="1"/>
  <c r="AW343" i="64"/>
  <c r="AX343" i="64" s="1"/>
  <c r="BM375" i="64"/>
  <c r="BM416" i="64" s="1"/>
  <c r="BN115" i="64"/>
  <c r="AK6" i="64"/>
  <c r="AJ18" i="64"/>
  <c r="BE29" i="64"/>
  <c r="BE41" i="64" s="1"/>
  <c r="M29" i="64"/>
  <c r="M41" i="64" s="1"/>
  <c r="AM29" i="64"/>
  <c r="AM41" i="64" s="1"/>
  <c r="BV29" i="64"/>
  <c r="BV41" i="64" s="1"/>
  <c r="K20" i="64"/>
  <c r="AV29" i="64"/>
  <c r="AV41" i="64" s="1"/>
  <c r="BZ29" i="64"/>
  <c r="BZ41" i="64" s="1"/>
  <c r="J56" i="64"/>
  <c r="K56" i="64" s="1"/>
  <c r="AS67" i="64"/>
  <c r="BJ62" i="64"/>
  <c r="BK62" i="64" s="1"/>
  <c r="AJ62" i="64"/>
  <c r="AK62" i="64" s="1"/>
  <c r="BU67" i="64"/>
  <c r="AW64" i="64"/>
  <c r="AW65" i="64" s="1"/>
  <c r="V67" i="64"/>
  <c r="AU65" i="64"/>
  <c r="X73" i="64"/>
  <c r="AW78" i="64"/>
  <c r="CF115" i="64"/>
  <c r="AX94" i="64"/>
  <c r="AW118" i="64"/>
  <c r="AX118" i="64" s="1"/>
  <c r="AX122" i="64"/>
  <c r="AX124" i="64"/>
  <c r="U125" i="64"/>
  <c r="U127" i="64" s="1"/>
  <c r="AW129" i="64"/>
  <c r="AX129" i="64" s="1"/>
  <c r="AX150" i="64"/>
  <c r="AW158" i="64"/>
  <c r="AW171" i="64"/>
  <c r="BX181" i="64"/>
  <c r="P200" i="64"/>
  <c r="AA200" i="64"/>
  <c r="AM200" i="64"/>
  <c r="AZ200" i="64"/>
  <c r="BM200" i="64"/>
  <c r="I215" i="64"/>
  <c r="I234" i="64" s="1"/>
  <c r="AU205" i="64"/>
  <c r="BV215" i="64"/>
  <c r="BV234" i="64" s="1"/>
  <c r="AW209" i="64"/>
  <c r="J213" i="64"/>
  <c r="J215" i="64" s="1"/>
  <c r="BJ217" i="64"/>
  <c r="BJ232" i="64" s="1"/>
  <c r="BX238" i="64"/>
  <c r="BU240" i="64"/>
  <c r="BX240" i="64" s="1"/>
  <c r="BA311" i="64"/>
  <c r="BA313" i="64" s="1"/>
  <c r="BA354" i="64" s="1"/>
  <c r="BU352" i="64"/>
  <c r="BW342" i="64"/>
  <c r="BW352" i="64" s="1"/>
  <c r="AW346" i="64"/>
  <c r="AX346" i="64" s="1"/>
  <c r="AW428" i="64"/>
  <c r="AX428" i="64" s="1"/>
  <c r="W27" i="64"/>
  <c r="X27" i="64" s="1"/>
  <c r="I29" i="64"/>
  <c r="I41" i="64" s="1"/>
  <c r="AI29" i="64"/>
  <c r="AI41" i="64" s="1"/>
  <c r="BM29" i="64"/>
  <c r="BM41" i="64" s="1"/>
  <c r="AI67" i="64"/>
  <c r="AE67" i="64"/>
  <c r="M67" i="64"/>
  <c r="S98" i="64"/>
  <c r="S115" i="64" s="1"/>
  <c r="AF98" i="64"/>
  <c r="AF115" i="64" s="1"/>
  <c r="BH98" i="64"/>
  <c r="AW125" i="64"/>
  <c r="I200" i="64"/>
  <c r="AJ205" i="64"/>
  <c r="BK238" i="64"/>
  <c r="BH240" i="64"/>
  <c r="BK240" i="64" s="1"/>
  <c r="AJ249" i="64"/>
  <c r="AK249" i="64" s="1"/>
  <c r="AK247" i="64"/>
  <c r="BX357" i="64"/>
  <c r="BW359" i="64"/>
  <c r="N127" i="64"/>
  <c r="N144" i="64" s="1"/>
  <c r="AX197" i="64"/>
  <c r="AW273" i="64"/>
  <c r="AX273" i="64" s="1"/>
  <c r="AR414" i="64"/>
  <c r="AU380" i="64"/>
  <c r="AW380" i="64" s="1"/>
  <c r="AX380" i="64" s="1"/>
  <c r="BJ7" i="64"/>
  <c r="BK7" i="64" s="1"/>
  <c r="AE29" i="64"/>
  <c r="AE41" i="64" s="1"/>
  <c r="BN29" i="64"/>
  <c r="BN41" i="64" s="1"/>
  <c r="BI67" i="64"/>
  <c r="BJ65" i="64"/>
  <c r="BK65" i="64" s="1"/>
  <c r="AI115" i="64"/>
  <c r="BJ125" i="64"/>
  <c r="BK125" i="64" s="1"/>
  <c r="R127" i="64"/>
  <c r="R144" i="64" s="1"/>
  <c r="BW154" i="64"/>
  <c r="BW176" i="64" s="1"/>
  <c r="M64" i="3" s="1"/>
  <c r="M66" i="3" s="1"/>
  <c r="AW172" i="64"/>
  <c r="AW181" i="64"/>
  <c r="AW182" i="64" s="1"/>
  <c r="AW184" i="64" s="1"/>
  <c r="AU182" i="64"/>
  <c r="AU184" i="64" s="1"/>
  <c r="AW203" i="64"/>
  <c r="AW205" i="64" s="1"/>
  <c r="AZ215" i="64"/>
  <c r="AZ234" i="64" s="1"/>
  <c r="AX220" i="64"/>
  <c r="AX223" i="64"/>
  <c r="AU267" i="64"/>
  <c r="AX260" i="64"/>
  <c r="AW340" i="64"/>
  <c r="AX340" i="64" s="1"/>
  <c r="AW363" i="64"/>
  <c r="AX363" i="64" s="1"/>
  <c r="AW438" i="64"/>
  <c r="AX438" i="64" s="1"/>
  <c r="AK457" i="64"/>
  <c r="AJ458" i="64"/>
  <c r="AK458" i="64" s="1"/>
  <c r="BX475" i="64"/>
  <c r="BU481" i="64"/>
  <c r="X503" i="64"/>
  <c r="W504" i="64"/>
  <c r="X504" i="64" s="1"/>
  <c r="I67" i="64"/>
  <c r="AU96" i="64"/>
  <c r="U67" i="64"/>
  <c r="R67" i="64"/>
  <c r="BM67" i="64"/>
  <c r="AX91" i="64"/>
  <c r="M115" i="64"/>
  <c r="V115" i="64"/>
  <c r="AZ98" i="64"/>
  <c r="AZ115" i="64" s="1"/>
  <c r="BJ92" i="64"/>
  <c r="BK92" i="64" s="1"/>
  <c r="AX95" i="64"/>
  <c r="AW119" i="64"/>
  <c r="AX119" i="64" s="1"/>
  <c r="K122" i="64"/>
  <c r="BK122" i="64"/>
  <c r="AX131" i="64"/>
  <c r="BK182" i="64"/>
  <c r="BW190" i="64"/>
  <c r="M74" i="3" s="1"/>
  <c r="M75" i="3" s="1"/>
  <c r="BF200" i="64"/>
  <c r="BN215" i="64"/>
  <c r="BN234" i="64" s="1"/>
  <c r="BW219" i="64"/>
  <c r="BW232" i="64" s="1"/>
  <c r="R251" i="64"/>
  <c r="R253" i="64" s="1"/>
  <c r="AE251" i="64"/>
  <c r="AE253" i="64" s="1"/>
  <c r="Z313" i="64"/>
  <c r="Z354" i="64" s="1"/>
  <c r="AI313" i="64"/>
  <c r="AI354" i="64" s="1"/>
  <c r="BI313" i="64"/>
  <c r="BI354" i="64" s="1"/>
  <c r="AX321" i="64"/>
  <c r="AX331" i="64"/>
  <c r="M375" i="64"/>
  <c r="M416" i="64" s="1"/>
  <c r="AJ359" i="64"/>
  <c r="AK359" i="64" s="1"/>
  <c r="AV375" i="64"/>
  <c r="AV416" i="64" s="1"/>
  <c r="BI375" i="64"/>
  <c r="BI416" i="64" s="1"/>
  <c r="AX396" i="64"/>
  <c r="AK419" i="64"/>
  <c r="AX420" i="64"/>
  <c r="AX424" i="64"/>
  <c r="S432" i="64"/>
  <c r="S445" i="64" s="1"/>
  <c r="AF432" i="64"/>
  <c r="AF445" i="64" s="1"/>
  <c r="AS432" i="64"/>
  <c r="AS445" i="64" s="1"/>
  <c r="BV432" i="64"/>
  <c r="BV445" i="64" s="1"/>
  <c r="W430" i="64"/>
  <c r="X430" i="64" s="1"/>
  <c r="BW430" i="64"/>
  <c r="Z432" i="64"/>
  <c r="Z445" i="64" s="1"/>
  <c r="AJ449" i="64"/>
  <c r="AK449" i="64" s="1"/>
  <c r="AK451" i="64" s="1"/>
  <c r="AK448" i="64"/>
  <c r="J464" i="64"/>
  <c r="K464" i="64" s="1"/>
  <c r="K463" i="64"/>
  <c r="W497" i="64"/>
  <c r="X496" i="64"/>
  <c r="AW551" i="64"/>
  <c r="AX551" i="64" s="1"/>
  <c r="AW588" i="64"/>
  <c r="U605" i="64"/>
  <c r="K799" i="64"/>
  <c r="H808" i="64"/>
  <c r="K808" i="64" s="1"/>
  <c r="J245" i="64"/>
  <c r="AN269" i="64"/>
  <c r="BE269" i="64"/>
  <c r="BU373" i="64"/>
  <c r="BU375" i="64" s="1"/>
  <c r="I375" i="64"/>
  <c r="I416" i="64" s="1"/>
  <c r="R432" i="64"/>
  <c r="R445" i="64" s="1"/>
  <c r="BK464" i="64"/>
  <c r="X474" i="64"/>
  <c r="W475" i="64"/>
  <c r="X475" i="64" s="1"/>
  <c r="R489" i="64"/>
  <c r="AJ514" i="64"/>
  <c r="AK514" i="64" s="1"/>
  <c r="AK513" i="64"/>
  <c r="K237" i="64"/>
  <c r="AW237" i="64"/>
  <c r="AW238" i="64" s="1"/>
  <c r="AW240" i="64" s="1"/>
  <c r="K238" i="64"/>
  <c r="W245" i="64"/>
  <c r="X245" i="64" s="1"/>
  <c r="BK243" i="64"/>
  <c r="BA251" i="64"/>
  <c r="BA253" i="64" s="1"/>
  <c r="BN251" i="64"/>
  <c r="BN253" i="64" s="1"/>
  <c r="J249" i="64"/>
  <c r="K249" i="64" s="1"/>
  <c r="AU249" i="64"/>
  <c r="BJ258" i="64"/>
  <c r="BK258" i="64" s="1"/>
  <c r="P269" i="64"/>
  <c r="S269" i="64"/>
  <c r="AF269" i="64"/>
  <c r="AW286" i="64"/>
  <c r="AW289" i="64" s="1"/>
  <c r="BN311" i="64"/>
  <c r="BN313" i="64" s="1"/>
  <c r="W306" i="64"/>
  <c r="X306" i="64" s="1"/>
  <c r="AX341" i="64"/>
  <c r="AX344" i="64"/>
  <c r="R375" i="64"/>
  <c r="R416" i="64" s="1"/>
  <c r="AW372" i="64"/>
  <c r="BK402" i="64"/>
  <c r="W425" i="64"/>
  <c r="AX421" i="64"/>
  <c r="BW517" i="64"/>
  <c r="BX516" i="64"/>
  <c r="AM536" i="64"/>
  <c r="AM582" i="64" s="1"/>
  <c r="BN536" i="64"/>
  <c r="BN582" i="64" s="1"/>
  <c r="W258" i="64"/>
  <c r="X258" i="64" s="1"/>
  <c r="BK256" i="64"/>
  <c r="J289" i="64"/>
  <c r="K289" i="64" s="1"/>
  <c r="AW295" i="64"/>
  <c r="AX295" i="64" s="1"/>
  <c r="AX300" i="64"/>
  <c r="I432" i="64"/>
  <c r="I445" i="64" s="1"/>
  <c r="BH451" i="64"/>
  <c r="BK449" i="64"/>
  <c r="BK451" i="64" s="1"/>
  <c r="J455" i="64"/>
  <c r="J460" i="64" s="1"/>
  <c r="K454" i="64"/>
  <c r="BU460" i="64"/>
  <c r="AW615" i="64"/>
  <c r="AX615" i="64" s="1"/>
  <c r="AU617" i="64"/>
  <c r="AU619" i="64" s="1"/>
  <c r="AW853" i="64"/>
  <c r="AX853" i="64" s="1"/>
  <c r="AR251" i="64"/>
  <c r="AR253" i="64" s="1"/>
  <c r="BM313" i="64"/>
  <c r="BM354" i="64" s="1"/>
  <c r="AW329" i="64"/>
  <c r="AX329" i="64" s="1"/>
  <c r="BN352" i="64"/>
  <c r="AU359" i="64"/>
  <c r="AW358" i="64"/>
  <c r="BE373" i="64"/>
  <c r="BE375" i="64" s="1"/>
  <c r="BN373" i="64"/>
  <c r="BN375" i="64" s="1"/>
  <c r="BN416" i="64" s="1"/>
  <c r="AM414" i="64"/>
  <c r="AX423" i="64"/>
  <c r="BJ443" i="64"/>
  <c r="AS506" i="64"/>
  <c r="AS508" i="64" s="1"/>
  <c r="M56" i="4" s="1"/>
  <c r="W501" i="64"/>
  <c r="X501" i="64" s="1"/>
  <c r="AW563" i="64"/>
  <c r="AX563" i="64" s="1"/>
  <c r="AX454" i="64"/>
  <c r="AX478" i="64"/>
  <c r="BH487" i="64"/>
  <c r="K504" i="64"/>
  <c r="BX522" i="64"/>
  <c r="AW530" i="64"/>
  <c r="AX532" i="64"/>
  <c r="AI536" i="64"/>
  <c r="AI582" i="64" s="1"/>
  <c r="BM536" i="64"/>
  <c r="BM582" i="64" s="1"/>
  <c r="AX585" i="64"/>
  <c r="BW588" i="64"/>
  <c r="M213" i="3" s="1"/>
  <c r="M599" i="64"/>
  <c r="X608" i="64"/>
  <c r="AX608" i="64"/>
  <c r="AX623" i="64"/>
  <c r="AN693" i="64"/>
  <c r="AN710" i="64" s="1"/>
  <c r="BR693" i="64"/>
  <c r="U714" i="64"/>
  <c r="X714" i="64" s="1"/>
  <c r="X713" i="64"/>
  <c r="AU717" i="64"/>
  <c r="AW717" i="64" s="1"/>
  <c r="AX717" i="64" s="1"/>
  <c r="AW819" i="64"/>
  <c r="AX818" i="64"/>
  <c r="BX901" i="64"/>
  <c r="AU455" i="64"/>
  <c r="AJ464" i="64"/>
  <c r="AK464" i="64" s="1"/>
  <c r="BI471" i="64"/>
  <c r="BV471" i="64"/>
  <c r="BZ471" i="64"/>
  <c r="AU487" i="64"/>
  <c r="J487" i="64"/>
  <c r="K487" i="64" s="1"/>
  <c r="N506" i="64"/>
  <c r="N508" i="64" s="1"/>
  <c r="AI501" i="64"/>
  <c r="BJ514" i="64"/>
  <c r="BK514" i="64" s="1"/>
  <c r="W517" i="64"/>
  <c r="X517" i="64" s="1"/>
  <c r="BJ597" i="64"/>
  <c r="BK597" i="64" s="1"/>
  <c r="AA599" i="64"/>
  <c r="J617" i="64"/>
  <c r="J619" i="64" s="1"/>
  <c r="K615" i="64"/>
  <c r="AW616" i="64"/>
  <c r="AX616" i="64" s="1"/>
  <c r="AM771" i="64"/>
  <c r="BA771" i="64"/>
  <c r="BK835" i="64"/>
  <c r="BH837" i="64"/>
  <c r="BK837" i="64" s="1"/>
  <c r="X455" i="64"/>
  <c r="AJ455" i="64"/>
  <c r="AK455" i="64" s="1"/>
  <c r="BW455" i="64"/>
  <c r="AW457" i="64"/>
  <c r="AW458" i="64" s="1"/>
  <c r="AW460" i="64" s="1"/>
  <c r="BK463" i="64"/>
  <c r="I489" i="64"/>
  <c r="P481" i="64"/>
  <c r="P489" i="64" s="1"/>
  <c r="AN481" i="64"/>
  <c r="AN489" i="64" s="1"/>
  <c r="BE481" i="64"/>
  <c r="BE489" i="64" s="1"/>
  <c r="BJ486" i="64"/>
  <c r="BK486" i="64" s="1"/>
  <c r="S506" i="64"/>
  <c r="S508" i="64" s="1"/>
  <c r="I56" i="4" s="1"/>
  <c r="BW501" i="64"/>
  <c r="AI504" i="64"/>
  <c r="BJ504" i="64"/>
  <c r="BK504" i="64" s="1"/>
  <c r="M519" i="64"/>
  <c r="V519" i="64"/>
  <c r="AM519" i="64"/>
  <c r="BA519" i="64"/>
  <c r="Z516" i="64"/>
  <c r="Z517" i="64" s="1"/>
  <c r="P21" i="4" s="1"/>
  <c r="BX524" i="64"/>
  <c r="Z599" i="64"/>
  <c r="AJ588" i="64"/>
  <c r="BW617" i="64"/>
  <c r="M230" i="3" s="1"/>
  <c r="M232" i="3" s="1"/>
  <c r="BX615" i="64"/>
  <c r="AJ624" i="64"/>
  <c r="AK624" i="64" s="1"/>
  <c r="AK622" i="64"/>
  <c r="AX685" i="64"/>
  <c r="AX706" i="64"/>
  <c r="AN721" i="64"/>
  <c r="AN734" i="64" s="1"/>
  <c r="X812" i="64"/>
  <c r="W813" i="64"/>
  <c r="W815" i="64" s="1"/>
  <c r="X815" i="64" s="1"/>
  <c r="AX824" i="64"/>
  <c r="BW920" i="64"/>
  <c r="W449" i="64"/>
  <c r="W451" i="64" s="1"/>
  <c r="U451" i="64"/>
  <c r="K457" i="64"/>
  <c r="AU458" i="64"/>
  <c r="BN471" i="64"/>
  <c r="AI481" i="64"/>
  <c r="AI489" i="64" s="1"/>
  <c r="AZ481" i="64"/>
  <c r="AZ489" i="64" s="1"/>
  <c r="BZ481" i="64"/>
  <c r="BZ489" i="64" s="1"/>
  <c r="BK483" i="64"/>
  <c r="AW486" i="64"/>
  <c r="AX486" i="64" s="1"/>
  <c r="BX500" i="64"/>
  <c r="BN519" i="64"/>
  <c r="J524" i="64"/>
  <c r="K524" i="64" s="1"/>
  <c r="S536" i="64"/>
  <c r="S582" i="64" s="1"/>
  <c r="AS536" i="64"/>
  <c r="AS582" i="64" s="1"/>
  <c r="AM599" i="64"/>
  <c r="BN599" i="64"/>
  <c r="AS599" i="64"/>
  <c r="AR603" i="64"/>
  <c r="AR605" i="64" s="1"/>
  <c r="AJ691" i="64"/>
  <c r="AK691" i="64" s="1"/>
  <c r="BW911" i="64"/>
  <c r="BX910" i="64"/>
  <c r="BH443" i="64"/>
  <c r="S460" i="64"/>
  <c r="AA460" i="64"/>
  <c r="AN460" i="64"/>
  <c r="BA460" i="64"/>
  <c r="H471" i="64"/>
  <c r="AF471" i="64"/>
  <c r="BF471" i="64"/>
  <c r="H481" i="64"/>
  <c r="H489" i="64" s="1"/>
  <c r="U481" i="64"/>
  <c r="U489" i="64" s="1"/>
  <c r="M506" i="64"/>
  <c r="M508" i="64" s="1"/>
  <c r="V506" i="64"/>
  <c r="V508" i="64" s="1"/>
  <c r="AV536" i="64"/>
  <c r="AV582" i="64" s="1"/>
  <c r="W580" i="64"/>
  <c r="X580" i="64" s="1"/>
  <c r="AX587" i="64"/>
  <c r="H599" i="64"/>
  <c r="AU610" i="64"/>
  <c r="AU612" i="64" s="1"/>
  <c r="AW632" i="64"/>
  <c r="S636" i="64"/>
  <c r="S669" i="64" s="1"/>
  <c r="AX651" i="64"/>
  <c r="AJ686" i="64"/>
  <c r="AK684" i="64"/>
  <c r="P734" i="64"/>
  <c r="AX768" i="64"/>
  <c r="V795" i="64"/>
  <c r="AE636" i="64"/>
  <c r="AE669" i="64" s="1"/>
  <c r="AR636" i="64"/>
  <c r="AR669" i="64" s="1"/>
  <c r="BF636" i="64"/>
  <c r="J686" i="64"/>
  <c r="J693" i="64" s="1"/>
  <c r="BE693" i="64"/>
  <c r="BE710" i="64" s="1"/>
  <c r="BN693" i="64"/>
  <c r="AU708" i="64"/>
  <c r="BK695" i="64"/>
  <c r="BH708" i="64"/>
  <c r="BV721" i="64"/>
  <c r="BV734" i="64" s="1"/>
  <c r="BR793" i="64"/>
  <c r="AR808" i="64"/>
  <c r="BE808" i="64"/>
  <c r="BN808" i="64"/>
  <c r="J813" i="64"/>
  <c r="J815" i="64" s="1"/>
  <c r="K815" i="64" s="1"/>
  <c r="H829" i="64"/>
  <c r="AW822" i="64"/>
  <c r="AX822" i="64" s="1"/>
  <c r="BV829" i="64"/>
  <c r="AX892" i="64"/>
  <c r="X904" i="64"/>
  <c r="BI636" i="64"/>
  <c r="BI669" i="64" s="1"/>
  <c r="BV636" i="64"/>
  <c r="BV669" i="64" s="1"/>
  <c r="I636" i="64"/>
  <c r="I669" i="64" s="1"/>
  <c r="BW676" i="64"/>
  <c r="X676" i="64"/>
  <c r="M693" i="64"/>
  <c r="M710" i="64" s="1"/>
  <c r="V693" i="64"/>
  <c r="V710" i="64" s="1"/>
  <c r="BV693" i="64"/>
  <c r="BV710" i="64" s="1"/>
  <c r="AA693" i="64"/>
  <c r="AA710" i="64" s="1"/>
  <c r="I771" i="64"/>
  <c r="I795" i="64" s="1"/>
  <c r="BN771" i="64"/>
  <c r="W835" i="64"/>
  <c r="W837" i="64" s="1"/>
  <c r="W617" i="64"/>
  <c r="W619" i="64" s="1"/>
  <c r="X619" i="64" s="1"/>
  <c r="AW629" i="64"/>
  <c r="AX629" i="64" s="1"/>
  <c r="AW633" i="64"/>
  <c r="AX633" i="64" s="1"/>
  <c r="AW642" i="64"/>
  <c r="AX642" i="64" s="1"/>
  <c r="AW686" i="64"/>
  <c r="N693" i="64"/>
  <c r="N710" i="64" s="1"/>
  <c r="Z693" i="64"/>
  <c r="Z710" i="64" s="1"/>
  <c r="BJ686" i="64"/>
  <c r="BH693" i="64"/>
  <c r="AW698" i="64"/>
  <c r="BE734" i="64"/>
  <c r="BW719" i="64"/>
  <c r="AZ721" i="64"/>
  <c r="AZ734" i="64" s="1"/>
  <c r="AX728" i="64"/>
  <c r="CF771" i="64"/>
  <c r="CF795" i="64" s="1"/>
  <c r="AS795" i="64"/>
  <c r="BA793" i="64"/>
  <c r="BH808" i="64"/>
  <c r="BK808" i="64" s="1"/>
  <c r="BK806" i="64"/>
  <c r="BW813" i="64"/>
  <c r="BJ819" i="64"/>
  <c r="BK818" i="64"/>
  <c r="CF829" i="64"/>
  <c r="AN636" i="64"/>
  <c r="AN669" i="64" s="1"/>
  <c r="Z636" i="64"/>
  <c r="Z669" i="64" s="1"/>
  <c r="AX658" i="64"/>
  <c r="BJ676" i="64"/>
  <c r="BJ678" i="64" s="1"/>
  <c r="S693" i="64"/>
  <c r="BW698" i="64"/>
  <c r="BX698" i="64" s="1"/>
  <c r="AW703" i="64"/>
  <c r="AX703" i="64" s="1"/>
  <c r="N721" i="64"/>
  <c r="N734" i="64" s="1"/>
  <c r="AK713" i="64"/>
  <c r="BX717" i="64"/>
  <c r="BA721" i="64"/>
  <c r="BA734" i="64" s="1"/>
  <c r="BW744" i="64"/>
  <c r="Z768" i="64"/>
  <c r="Z769" i="64" s="1"/>
  <c r="X768" i="64"/>
  <c r="AE793" i="64"/>
  <c r="AE795" i="64" s="1"/>
  <c r="AR829" i="64"/>
  <c r="AW851" i="64"/>
  <c r="AX851" i="64" s="1"/>
  <c r="AX873" i="64"/>
  <c r="AW873" i="64"/>
  <c r="AW890" i="64"/>
  <c r="AX890" i="64"/>
  <c r="BU913" i="64"/>
  <c r="AX761" i="64"/>
  <c r="BV795" i="64"/>
  <c r="W769" i="64"/>
  <c r="X769" i="64" s="1"/>
  <c r="AX766" i="64"/>
  <c r="X767" i="64"/>
  <c r="BN793" i="64"/>
  <c r="CF808" i="64"/>
  <c r="BZ808" i="64"/>
  <c r="BX818" i="64"/>
  <c r="Z829" i="64"/>
  <c r="AN829" i="64"/>
  <c r="AU827" i="64"/>
  <c r="M829" i="64"/>
  <c r="V829" i="64"/>
  <c r="AX856" i="64"/>
  <c r="AX876" i="64"/>
  <c r="K879" i="64"/>
  <c r="BJ898" i="64"/>
  <c r="AE905" i="64"/>
  <c r="AE907" i="64" s="1"/>
  <c r="BJ920" i="64"/>
  <c r="BJ922" i="64" s="1"/>
  <c r="J920" i="64"/>
  <c r="J922" i="64" s="1"/>
  <c r="AN771" i="64"/>
  <c r="BE771" i="64"/>
  <c r="BR771" i="64"/>
  <c r="Q32" i="4" s="1"/>
  <c r="M808" i="64"/>
  <c r="V808" i="64"/>
  <c r="AA808" i="64"/>
  <c r="AF829" i="64"/>
  <c r="AJ835" i="64"/>
  <c r="AJ837" i="64" s="1"/>
  <c r="AW920" i="64"/>
  <c r="AW922" i="64" s="1"/>
  <c r="AE808" i="64"/>
  <c r="AM808" i="64"/>
  <c r="AZ829" i="64"/>
  <c r="AW854" i="64"/>
  <c r="AW871" i="64"/>
  <c r="AX875" i="64"/>
  <c r="J176" i="64"/>
  <c r="J178" i="64" s="1"/>
  <c r="K178" i="64" s="1"/>
  <c r="BW198" i="64"/>
  <c r="BJ198" i="64"/>
  <c r="W232" i="64"/>
  <c r="X232" i="64" s="1"/>
  <c r="AX326" i="64"/>
  <c r="AX335" i="64"/>
  <c r="AX368" i="64"/>
  <c r="BK436" i="64"/>
  <c r="AK213" i="64"/>
  <c r="AJ142" i="64"/>
  <c r="AK142" i="64" s="1"/>
  <c r="AX134" i="64"/>
  <c r="AX148" i="64"/>
  <c r="BJ267" i="64"/>
  <c r="BK267" i="64" s="1"/>
  <c r="BW311" i="64"/>
  <c r="M121" i="3" s="1"/>
  <c r="BJ708" i="64"/>
  <c r="BW732" i="64"/>
  <c r="AK884" i="64"/>
  <c r="Z741" i="64"/>
  <c r="X741" i="64"/>
  <c r="W39" i="64"/>
  <c r="X39" i="64" s="1"/>
  <c r="BW39" i="64"/>
  <c r="BJ39" i="64"/>
  <c r="BK39" i="64" s="1"/>
  <c r="AK44" i="64"/>
  <c r="W267" i="64"/>
  <c r="X267" i="64" s="1"/>
  <c r="J373" i="64"/>
  <c r="K373" i="64" s="1"/>
  <c r="BJ534" i="64"/>
  <c r="BK534" i="64" s="1"/>
  <c r="J39" i="64"/>
  <c r="K39" i="64" s="1"/>
  <c r="AX141" i="64"/>
  <c r="BK526" i="64"/>
  <c r="K32" i="64"/>
  <c r="AX137" i="64"/>
  <c r="AX162" i="64"/>
  <c r="J267" i="64"/>
  <c r="K267" i="64" s="1"/>
  <c r="AK695" i="64"/>
  <c r="AJ708" i="64"/>
  <c r="AK708" i="64" s="1"/>
  <c r="AX565" i="64"/>
  <c r="BJ667" i="64"/>
  <c r="BK667" i="64" s="1"/>
  <c r="AX657" i="64"/>
  <c r="J732" i="64"/>
  <c r="K732" i="64" s="1"/>
  <c r="J764" i="64"/>
  <c r="K764" i="64" s="1"/>
  <c r="K885" i="64"/>
  <c r="AJ597" i="64"/>
  <c r="BK639" i="64"/>
  <c r="X739" i="64"/>
  <c r="BW827" i="64"/>
  <c r="AJ634" i="64"/>
  <c r="AK634" i="64" s="1"/>
  <c r="X759" i="64"/>
  <c r="BK759" i="64"/>
  <c r="X760" i="64"/>
  <c r="AK626" i="64"/>
  <c r="Z743" i="64"/>
  <c r="BW764" i="64"/>
  <c r="M284" i="3" s="1"/>
  <c r="BW879" i="64"/>
  <c r="AJ879" i="64"/>
  <c r="AJ881" i="64" s="1"/>
  <c r="W597" i="64"/>
  <c r="X597" i="64" s="1"/>
  <c r="AJ764" i="64"/>
  <c r="AK764" i="64" s="1"/>
  <c r="BX759" i="64"/>
  <c r="BW863" i="64"/>
  <c r="BW865" i="64" s="1"/>
  <c r="BW866" i="64" s="1"/>
  <c r="X25" i="1"/>
  <c r="X27" i="1" s="1"/>
  <c r="J25" i="1"/>
  <c r="K25" i="1" s="1"/>
  <c r="J16" i="1"/>
  <c r="J18" i="1" s="1"/>
  <c r="K18" i="1" s="1"/>
  <c r="X7" i="64"/>
  <c r="W9" i="64"/>
  <c r="X9" i="64" s="1"/>
  <c r="AX31" i="64"/>
  <c r="AU9" i="64"/>
  <c r="BW50" i="64"/>
  <c r="BX44" i="64"/>
  <c r="BW65" i="64"/>
  <c r="M32" i="3" s="1"/>
  <c r="BX64" i="64"/>
  <c r="AW112" i="64"/>
  <c r="AX112" i="64" s="1"/>
  <c r="AJ120" i="64"/>
  <c r="AK119" i="64"/>
  <c r="BW125" i="64"/>
  <c r="BX123" i="64"/>
  <c r="AU232" i="64"/>
  <c r="AW217" i="64"/>
  <c r="U311" i="64"/>
  <c r="U313" i="64" s="1"/>
  <c r="W292" i="64"/>
  <c r="AW330" i="64"/>
  <c r="AX330" i="64" s="1"/>
  <c r="AW339" i="64"/>
  <c r="AX339" i="64" s="1"/>
  <c r="AW345" i="64"/>
  <c r="AX345" i="64" s="1"/>
  <c r="BU866" i="64"/>
  <c r="X6" i="64"/>
  <c r="J7" i="64"/>
  <c r="J9" i="64" s="1"/>
  <c r="K9" i="64" s="1"/>
  <c r="BK12" i="64"/>
  <c r="X13" i="64"/>
  <c r="BK21" i="64"/>
  <c r="AW23" i="64"/>
  <c r="AX23" i="64" s="1"/>
  <c r="X31" i="64"/>
  <c r="AW33" i="64"/>
  <c r="AU50" i="64"/>
  <c r="W62" i="64"/>
  <c r="X62" i="64" s="1"/>
  <c r="AX60" i="64"/>
  <c r="AF67" i="64"/>
  <c r="AR67" i="64"/>
  <c r="BN67" i="64"/>
  <c r="BA76" i="64"/>
  <c r="BA87" i="64" s="1"/>
  <c r="K90" i="64"/>
  <c r="J92" i="64"/>
  <c r="H98" i="64"/>
  <c r="W113" i="64"/>
  <c r="X113" i="64" s="1"/>
  <c r="AE127" i="64"/>
  <c r="AE144" i="64" s="1"/>
  <c r="BE144" i="64"/>
  <c r="AW135" i="64"/>
  <c r="AX135" i="64" s="1"/>
  <c r="AU142" i="64"/>
  <c r="U178" i="64"/>
  <c r="U200" i="64"/>
  <c r="X213" i="64"/>
  <c r="AN251" i="64"/>
  <c r="AN253" i="64" s="1"/>
  <c r="BH269" i="64"/>
  <c r="AW272" i="64"/>
  <c r="AW277" i="64" s="1"/>
  <c r="AX277" i="64" s="1"/>
  <c r="AX285" i="64"/>
  <c r="AJ414" i="64"/>
  <c r="AK414" i="64" s="1"/>
  <c r="AU39" i="64"/>
  <c r="AX45" i="64"/>
  <c r="AU92" i="64"/>
  <c r="AW90" i="64"/>
  <c r="AW92" i="64" s="1"/>
  <c r="AW109" i="64"/>
  <c r="AX109" i="64" s="1"/>
  <c r="K182" i="64"/>
  <c r="U184" i="64"/>
  <c r="BU184" i="64"/>
  <c r="BX182" i="64"/>
  <c r="AJ279" i="64"/>
  <c r="AW327" i="64"/>
  <c r="AX327" i="64" s="1"/>
  <c r="AW342" i="64"/>
  <c r="AX342" i="64" s="1"/>
  <c r="U913" i="64"/>
  <c r="X913" i="64" s="1"/>
  <c r="X911" i="64"/>
  <c r="AU18" i="64"/>
  <c r="J50" i="64"/>
  <c r="BW62" i="64"/>
  <c r="BF67" i="64"/>
  <c r="CF67" i="64"/>
  <c r="AA76" i="64"/>
  <c r="AA87" i="64" s="1"/>
  <c r="BN76" i="64"/>
  <c r="BN87" i="64" s="1"/>
  <c r="AJ85" i="64"/>
  <c r="AK85" i="64" s="1"/>
  <c r="AK79" i="64"/>
  <c r="W85" i="64"/>
  <c r="X85" i="64" s="1"/>
  <c r="BJ85" i="64"/>
  <c r="BW92" i="64"/>
  <c r="M46" i="3" s="1"/>
  <c r="BI98" i="64"/>
  <c r="BI115" i="64" s="1"/>
  <c r="W96" i="64"/>
  <c r="X96" i="64" s="1"/>
  <c r="X94" i="64"/>
  <c r="AJ96" i="64"/>
  <c r="AK96" i="64" s="1"/>
  <c r="AX108" i="64"/>
  <c r="BJ110" i="64"/>
  <c r="BK110" i="64" s="1"/>
  <c r="BW120" i="64"/>
  <c r="M55" i="3" s="1"/>
  <c r="BX118" i="64"/>
  <c r="BU127" i="64"/>
  <c r="AN176" i="64"/>
  <c r="AN178" i="64" s="1"/>
  <c r="BX161" i="64"/>
  <c r="AW164" i="64"/>
  <c r="AX164" i="64" s="1"/>
  <c r="BW213" i="64"/>
  <c r="M83" i="3" s="1"/>
  <c r="BX207" i="64"/>
  <c r="BX213" i="64" s="1"/>
  <c r="J232" i="64"/>
  <c r="K232" i="64" s="1"/>
  <c r="K217" i="64"/>
  <c r="BE232" i="64"/>
  <c r="AW222" i="64"/>
  <c r="AX222" i="64" s="1"/>
  <c r="AW229" i="64"/>
  <c r="AX229" i="64" s="1"/>
  <c r="BJ249" i="64"/>
  <c r="BK249" i="64" s="1"/>
  <c r="BK247" i="64"/>
  <c r="AJ267" i="64"/>
  <c r="AK267" i="64" s="1"/>
  <c r="BW267" i="64"/>
  <c r="AW303" i="64"/>
  <c r="AX303" i="64"/>
  <c r="AW402" i="64"/>
  <c r="AX402" i="64" s="1"/>
  <c r="AW405" i="64"/>
  <c r="AX405" i="64" s="1"/>
  <c r="J449" i="64"/>
  <c r="K448" i="64"/>
  <c r="J18" i="64"/>
  <c r="AW48" i="64"/>
  <c r="U52" i="64"/>
  <c r="BU52" i="64"/>
  <c r="BF87" i="64"/>
  <c r="BR76" i="64"/>
  <c r="BR87" i="64" s="1"/>
  <c r="AU74" i="64"/>
  <c r="AW73" i="64"/>
  <c r="AW74" i="64" s="1"/>
  <c r="K79" i="64"/>
  <c r="J85" i="64"/>
  <c r="K85" i="64" s="1"/>
  <c r="BW96" i="64"/>
  <c r="BX94" i="64"/>
  <c r="AR176" i="64"/>
  <c r="AR178" i="64" s="1"/>
  <c r="AU147" i="64"/>
  <c r="AJ182" i="64"/>
  <c r="AK181" i="64"/>
  <c r="BJ184" i="64"/>
  <c r="BK184" i="64" s="1"/>
  <c r="AJ213" i="64"/>
  <c r="AX227" i="64"/>
  <c r="H279" i="64"/>
  <c r="W289" i="64"/>
  <c r="BW7" i="64"/>
  <c r="AW12" i="64"/>
  <c r="BJ13" i="64"/>
  <c r="BK13" i="64" s="1"/>
  <c r="X20" i="64"/>
  <c r="BK33" i="64"/>
  <c r="AW61" i="64"/>
  <c r="AX61" i="64" s="1"/>
  <c r="Z67" i="64"/>
  <c r="AV67" i="64"/>
  <c r="BV67" i="64"/>
  <c r="AU71" i="64"/>
  <c r="AW70" i="64"/>
  <c r="AW71" i="64" s="1"/>
  <c r="J71" i="64"/>
  <c r="X71" i="64"/>
  <c r="BH76" i="64"/>
  <c r="BK73" i="64"/>
  <c r="BJ74" i="64"/>
  <c r="BK74" i="64" s="1"/>
  <c r="AW83" i="64"/>
  <c r="AX83" i="64" s="1"/>
  <c r="W142" i="64"/>
  <c r="X142" i="64" s="1"/>
  <c r="W176" i="64"/>
  <c r="W178" i="64" s="1"/>
  <c r="X147" i="64"/>
  <c r="K184" i="64"/>
  <c r="BW205" i="64"/>
  <c r="M82" i="3" s="1"/>
  <c r="BX203" i="64"/>
  <c r="BX205" i="64" s="1"/>
  <c r="H234" i="64"/>
  <c r="S251" i="64"/>
  <c r="S253" i="64" s="1"/>
  <c r="W249" i="64"/>
  <c r="X249" i="64" s="1"/>
  <c r="X247" i="64"/>
  <c r="AJ352" i="64"/>
  <c r="AK316" i="64"/>
  <c r="AW14" i="64"/>
  <c r="AX14" i="64" s="1"/>
  <c r="BH18" i="64"/>
  <c r="AW21" i="64"/>
  <c r="AX21" i="64" s="1"/>
  <c r="AW25" i="64"/>
  <c r="BX31" i="64"/>
  <c r="AW36" i="64"/>
  <c r="W50" i="64"/>
  <c r="W52" i="64" s="1"/>
  <c r="X44" i="64"/>
  <c r="AU56" i="64"/>
  <c r="AW55" i="64"/>
  <c r="AW56" i="64" s="1"/>
  <c r="J62" i="64"/>
  <c r="AW6" i="64"/>
  <c r="W14" i="64"/>
  <c r="W18" i="64" s="1"/>
  <c r="BJ50" i="64"/>
  <c r="BJ56" i="64"/>
  <c r="BK56" i="64" s="1"/>
  <c r="BK55" i="64"/>
  <c r="AW58" i="64"/>
  <c r="AU62" i="64"/>
  <c r="X64" i="64"/>
  <c r="W65" i="64"/>
  <c r="AZ67" i="64"/>
  <c r="BZ67" i="64"/>
  <c r="BJ71" i="64"/>
  <c r="BK70" i="64"/>
  <c r="BW79" i="64"/>
  <c r="BW85" i="64" s="1"/>
  <c r="M41" i="3" s="1"/>
  <c r="BU85" i="64"/>
  <c r="AW80" i="64"/>
  <c r="AX82" i="64"/>
  <c r="W92" i="64"/>
  <c r="X91" i="64"/>
  <c r="P98" i="64"/>
  <c r="P115" i="64" s="1"/>
  <c r="AN98" i="64"/>
  <c r="AN115" i="64" s="1"/>
  <c r="BE98" i="64"/>
  <c r="AW96" i="64"/>
  <c r="BX100" i="64"/>
  <c r="BW101" i="64"/>
  <c r="AN127" i="64"/>
  <c r="AN144" i="64" s="1"/>
  <c r="AJ125" i="64"/>
  <c r="AK125" i="64" s="1"/>
  <c r="AK122" i="64"/>
  <c r="BW142" i="64"/>
  <c r="BX129" i="64"/>
  <c r="AJ176" i="64"/>
  <c r="AJ178" i="64" s="1"/>
  <c r="AK178" i="64" s="1"/>
  <c r="BX147" i="64"/>
  <c r="AX159" i="64"/>
  <c r="BJ167" i="64"/>
  <c r="BK167" i="64" s="1"/>
  <c r="AF215" i="64"/>
  <c r="AF234" i="64" s="1"/>
  <c r="AX221" i="64"/>
  <c r="BI251" i="64"/>
  <c r="BI253" i="64" s="1"/>
  <c r="X274" i="64"/>
  <c r="AS313" i="64"/>
  <c r="AW306" i="64"/>
  <c r="AX306" i="64" s="1"/>
  <c r="BX315" i="64"/>
  <c r="BH373" i="64"/>
  <c r="BJ363" i="64"/>
  <c r="BK363" i="64" s="1"/>
  <c r="P62" i="64"/>
  <c r="P65" i="64" s="1"/>
  <c r="P67" i="64" s="1"/>
  <c r="H67" i="64"/>
  <c r="AJ71" i="64"/>
  <c r="BH85" i="64"/>
  <c r="BJ120" i="64"/>
  <c r="W205" i="64"/>
  <c r="W213" i="64"/>
  <c r="H240" i="64"/>
  <c r="K240" i="64" s="1"/>
  <c r="AU245" i="64"/>
  <c r="AW243" i="64"/>
  <c r="AW245" i="64" s="1"/>
  <c r="H251" i="64"/>
  <c r="P251" i="64"/>
  <c r="P253" i="64" s="1"/>
  <c r="AU258" i="64"/>
  <c r="AW256" i="64"/>
  <c r="AX256" i="64" s="1"/>
  <c r="J258" i="64"/>
  <c r="BN269" i="64"/>
  <c r="AW265" i="64"/>
  <c r="AX265" i="64" s="1"/>
  <c r="BJ279" i="64"/>
  <c r="AX276" i="64"/>
  <c r="BX293" i="64"/>
  <c r="BU311" i="64"/>
  <c r="BU313" i="64" s="1"/>
  <c r="AX301" i="64"/>
  <c r="AX308" i="64"/>
  <c r="AW309" i="64"/>
  <c r="AX309" i="64" s="1"/>
  <c r="AW336" i="64"/>
  <c r="AX336" i="64" s="1"/>
  <c r="BX349" i="64"/>
  <c r="U375" i="64"/>
  <c r="AX379" i="64"/>
  <c r="W414" i="64"/>
  <c r="X414" i="64" s="1"/>
  <c r="BH536" i="64"/>
  <c r="U98" i="64"/>
  <c r="BU98" i="64"/>
  <c r="AJ113" i="64"/>
  <c r="AK113" i="64" s="1"/>
  <c r="AU113" i="64"/>
  <c r="W120" i="64"/>
  <c r="AU213" i="64"/>
  <c r="BW249" i="64"/>
  <c r="BX247" i="64"/>
  <c r="AX305" i="64"/>
  <c r="AX307" i="64"/>
  <c r="AW315" i="64"/>
  <c r="AX316" i="64"/>
  <c r="AX333" i="64"/>
  <c r="AW333" i="64"/>
  <c r="W359" i="64"/>
  <c r="X357" i="64"/>
  <c r="AX362" i="64"/>
  <c r="AW382" i="64"/>
  <c r="AX382" i="64" s="1"/>
  <c r="AX384" i="64"/>
  <c r="AX398" i="64"/>
  <c r="J471" i="64"/>
  <c r="BW504" i="64"/>
  <c r="BX503" i="64"/>
  <c r="J113" i="64"/>
  <c r="K113" i="64" s="1"/>
  <c r="AJ232" i="64"/>
  <c r="AK232" i="64" s="1"/>
  <c r="BH253" i="64"/>
  <c r="AW262" i="64"/>
  <c r="AX262" i="64" s="1"/>
  <c r="AW266" i="64"/>
  <c r="AX266" i="64" s="1"/>
  <c r="AN311" i="64"/>
  <c r="AN313" i="64" s="1"/>
  <c r="AN354" i="64" s="1"/>
  <c r="I311" i="64"/>
  <c r="I313" i="64" s="1"/>
  <c r="I354" i="64" s="1"/>
  <c r="J294" i="64"/>
  <c r="AX296" i="64"/>
  <c r="AW296" i="64"/>
  <c r="BH352" i="64"/>
  <c r="BJ318" i="64"/>
  <c r="BK318" i="64" s="1"/>
  <c r="AW320" i="64"/>
  <c r="AX320" i="64" s="1"/>
  <c r="AW323" i="64"/>
  <c r="AX323" i="64" s="1"/>
  <c r="K359" i="64"/>
  <c r="H375" i="64"/>
  <c r="AW366" i="64"/>
  <c r="AX366" i="64" s="1"/>
  <c r="AW411" i="64"/>
  <c r="AX411" i="64" s="1"/>
  <c r="BK455" i="64"/>
  <c r="J479" i="64"/>
  <c r="K479" i="64" s="1"/>
  <c r="K477" i="64"/>
  <c r="BU506" i="64"/>
  <c r="AK544" i="64"/>
  <c r="AJ576" i="64"/>
  <c r="AK576" i="64" s="1"/>
  <c r="AJ74" i="64"/>
  <c r="AK74" i="64" s="1"/>
  <c r="AX78" i="64"/>
  <c r="AW105" i="64"/>
  <c r="BH113" i="64"/>
  <c r="X129" i="64"/>
  <c r="AW132" i="64"/>
  <c r="AX132" i="64" s="1"/>
  <c r="AW138" i="64"/>
  <c r="BJ142" i="64"/>
  <c r="BK142" i="64" s="1"/>
  <c r="AW149" i="64"/>
  <c r="AW152" i="64"/>
  <c r="AW160" i="64"/>
  <c r="AX160" i="64" s="1"/>
  <c r="AW165" i="64"/>
  <c r="AW173" i="64"/>
  <c r="AX173" i="64" s="1"/>
  <c r="AW193" i="64"/>
  <c r="AW211" i="64"/>
  <c r="BJ212" i="64"/>
  <c r="BJ213" i="64" s="1"/>
  <c r="BJ215" i="64" s="1"/>
  <c r="BH213" i="64"/>
  <c r="BH215" i="64" s="1"/>
  <c r="AW225" i="64"/>
  <c r="AX225" i="64" s="1"/>
  <c r="BW258" i="64"/>
  <c r="M103" i="3" s="1"/>
  <c r="AJ289" i="64"/>
  <c r="AK289" i="64" s="1"/>
  <c r="BJ289" i="64"/>
  <c r="BK289" i="64" s="1"/>
  <c r="AU311" i="64"/>
  <c r="AW292" i="64"/>
  <c r="AX292" i="64" s="1"/>
  <c r="AW299" i="64"/>
  <c r="BE311" i="64"/>
  <c r="BE313" i="64" s="1"/>
  <c r="BE354" i="64" s="1"/>
  <c r="AW302" i="64"/>
  <c r="AX302" i="64" s="1"/>
  <c r="H313" i="64"/>
  <c r="J352" i="64"/>
  <c r="K352" i="64" s="1"/>
  <c r="K315" i="64"/>
  <c r="AX377" i="64"/>
  <c r="J414" i="64"/>
  <c r="K414" i="64" s="1"/>
  <c r="K384" i="64"/>
  <c r="J430" i="64"/>
  <c r="K430" i="64" s="1"/>
  <c r="K427" i="64"/>
  <c r="K147" i="64"/>
  <c r="AJ245" i="64"/>
  <c r="BX243" i="64"/>
  <c r="BX245" i="64"/>
  <c r="AX247" i="64"/>
  <c r="U251" i="64"/>
  <c r="AJ258" i="64"/>
  <c r="BX256" i="64"/>
  <c r="BZ269" i="64"/>
  <c r="X261" i="64"/>
  <c r="U269" i="64"/>
  <c r="AK272" i="64"/>
  <c r="AU289" i="64"/>
  <c r="AX288" i="64"/>
  <c r="BW289" i="64"/>
  <c r="AJ311" i="64"/>
  <c r="AK293" i="64"/>
  <c r="AX294" i="64"/>
  <c r="BJ301" i="64"/>
  <c r="BH311" i="64"/>
  <c r="BH313" i="64" s="1"/>
  <c r="BK304" i="64"/>
  <c r="BK306" i="64"/>
  <c r="AR311" i="64"/>
  <c r="AR313" i="64" s="1"/>
  <c r="W352" i="64"/>
  <c r="X352" i="64" s="1"/>
  <c r="X315" i="64"/>
  <c r="AW317" i="64"/>
  <c r="AX317" i="64" s="1"/>
  <c r="AX319" i="64"/>
  <c r="AR352" i="64"/>
  <c r="AU328" i="64"/>
  <c r="BJ359" i="64"/>
  <c r="BK357" i="64"/>
  <c r="BJ392" i="64"/>
  <c r="BK392" i="64" s="1"/>
  <c r="AX381" i="64"/>
  <c r="AU425" i="64"/>
  <c r="AW419" i="64"/>
  <c r="AX419" i="64" s="1"/>
  <c r="BW425" i="64"/>
  <c r="M138" i="3" s="1"/>
  <c r="AX436" i="64"/>
  <c r="P460" i="64"/>
  <c r="AU469" i="64"/>
  <c r="K469" i="64"/>
  <c r="AU475" i="64"/>
  <c r="AW474" i="64"/>
  <c r="M481" i="64"/>
  <c r="M489" i="64" s="1"/>
  <c r="V481" i="64"/>
  <c r="V489" i="64" s="1"/>
  <c r="BU487" i="64"/>
  <c r="BW486" i="64"/>
  <c r="BH506" i="64"/>
  <c r="BK497" i="64"/>
  <c r="BJ517" i="64"/>
  <c r="BK516" i="64"/>
  <c r="AW260" i="64"/>
  <c r="BA414" i="64"/>
  <c r="J425" i="64"/>
  <c r="K419" i="64"/>
  <c r="BJ425" i="64"/>
  <c r="AM432" i="64"/>
  <c r="AM445" i="64" s="1"/>
  <c r="AU443" i="64"/>
  <c r="J443" i="64"/>
  <c r="K443" i="64" s="1"/>
  <c r="BX449" i="64"/>
  <c r="BX451" i="64" s="1"/>
  <c r="BM460" i="64"/>
  <c r="BK458" i="64"/>
  <c r="W464" i="64"/>
  <c r="X463" i="64"/>
  <c r="BX464" i="64"/>
  <c r="AJ501" i="64"/>
  <c r="AJ504" i="64"/>
  <c r="AK504" i="64" s="1"/>
  <c r="AK503" i="64"/>
  <c r="X531" i="64"/>
  <c r="W534" i="64"/>
  <c r="X534" i="64" s="1"/>
  <c r="BU536" i="64"/>
  <c r="AW539" i="64"/>
  <c r="AX539" i="64" s="1"/>
  <c r="AU576" i="64"/>
  <c r="BA375" i="64"/>
  <c r="AJ430" i="64"/>
  <c r="AK430" i="64" s="1"/>
  <c r="U432" i="64"/>
  <c r="AW440" i="64"/>
  <c r="AX440" i="64" s="1"/>
  <c r="H460" i="64"/>
  <c r="J475" i="64"/>
  <c r="K474" i="64"/>
  <c r="AJ487" i="64"/>
  <c r="AK487" i="64" s="1"/>
  <c r="AK483" i="64"/>
  <c r="U536" i="64"/>
  <c r="AW624" i="64"/>
  <c r="AX622" i="64"/>
  <c r="AW348" i="64"/>
  <c r="AX348" i="64" s="1"/>
  <c r="AW357" i="64"/>
  <c r="N375" i="64"/>
  <c r="N416" i="64" s="1"/>
  <c r="AI375" i="64"/>
  <c r="AI416" i="64" s="1"/>
  <c r="BK361" i="64"/>
  <c r="AU364" i="64"/>
  <c r="AX367" i="64"/>
  <c r="AJ373" i="64"/>
  <c r="BW414" i="64"/>
  <c r="BX377" i="64"/>
  <c r="BH414" i="64"/>
  <c r="AX385" i="64"/>
  <c r="AW388" i="64"/>
  <c r="AX388" i="64" s="1"/>
  <c r="H432" i="64"/>
  <c r="AU449" i="64"/>
  <c r="AW448" i="64"/>
  <c r="AW449" i="64" s="1"/>
  <c r="AW451" i="64" s="1"/>
  <c r="BE460" i="64"/>
  <c r="AU479" i="64"/>
  <c r="AW477" i="64"/>
  <c r="AW479" i="64" s="1"/>
  <c r="AK522" i="64"/>
  <c r="AJ524" i="64"/>
  <c r="W588" i="64"/>
  <c r="X588" i="64" s="1"/>
  <c r="X585" i="64"/>
  <c r="AW602" i="64"/>
  <c r="AW603" i="64" s="1"/>
  <c r="AW605" i="64" s="1"/>
  <c r="AU603" i="64"/>
  <c r="K357" i="64"/>
  <c r="BW363" i="64"/>
  <c r="BX363" i="64" s="1"/>
  <c r="AW378" i="64"/>
  <c r="BJ379" i="64"/>
  <c r="AE414" i="64"/>
  <c r="AX394" i="64"/>
  <c r="AX395" i="64"/>
  <c r="AX400" i="64"/>
  <c r="AX401" i="64"/>
  <c r="AX407" i="64"/>
  <c r="AX408" i="64"/>
  <c r="BH432" i="64"/>
  <c r="AU430" i="64"/>
  <c r="AW427" i="64"/>
  <c r="W443" i="64"/>
  <c r="AX439" i="64"/>
  <c r="BW469" i="64"/>
  <c r="AW467" i="64"/>
  <c r="AJ481" i="64"/>
  <c r="AK475" i="64"/>
  <c r="AW501" i="64"/>
  <c r="AX499" i="64"/>
  <c r="W514" i="64"/>
  <c r="Z513" i="64"/>
  <c r="Z514" i="64" s="1"/>
  <c r="X513" i="64"/>
  <c r="AW569" i="64"/>
  <c r="AX569" i="64" s="1"/>
  <c r="BK440" i="64"/>
  <c r="BW443" i="64"/>
  <c r="BH460" i="64"/>
  <c r="AX466" i="64"/>
  <c r="W479" i="64"/>
  <c r="X479" i="64" s="1"/>
  <c r="BJ479" i="64"/>
  <c r="BJ481" i="64" s="1"/>
  <c r="BW497" i="64"/>
  <c r="BX496" i="64"/>
  <c r="AX500" i="64"/>
  <c r="BW514" i="64"/>
  <c r="BX513" i="64"/>
  <c r="AA519" i="64"/>
  <c r="AU524" i="64"/>
  <c r="AW522" i="64"/>
  <c r="AW524" i="64" s="1"/>
  <c r="AX526" i="64"/>
  <c r="AX528" i="64"/>
  <c r="BW534" i="64"/>
  <c r="AX538" i="64"/>
  <c r="AX540" i="64"/>
  <c r="AW549" i="64"/>
  <c r="AX549" i="64" s="1"/>
  <c r="BW597" i="64"/>
  <c r="M215" i="3" s="1"/>
  <c r="BJ430" i="64"/>
  <c r="BK430" i="64" s="1"/>
  <c r="AW484" i="64"/>
  <c r="AX484" i="64" s="1"/>
  <c r="W487" i="64"/>
  <c r="X487" i="64" s="1"/>
  <c r="BJ501" i="64"/>
  <c r="BK501" i="64" s="1"/>
  <c r="H519" i="64"/>
  <c r="K519" i="64" s="1"/>
  <c r="BJ524" i="64"/>
  <c r="BX539" i="64"/>
  <c r="BW576" i="64"/>
  <c r="H619" i="64"/>
  <c r="BW643" i="64"/>
  <c r="BX643" i="64" s="1"/>
  <c r="BU667" i="64"/>
  <c r="AW644" i="64"/>
  <c r="AX644" i="64" s="1"/>
  <c r="W686" i="64"/>
  <c r="X684" i="64"/>
  <c r="Z742" i="64"/>
  <c r="X742" i="64"/>
  <c r="BK454" i="64"/>
  <c r="BK457" i="64"/>
  <c r="BH471" i="64"/>
  <c r="AW483" i="64"/>
  <c r="AX483" i="64" s="1"/>
  <c r="AU497" i="64"/>
  <c r="AW496" i="64"/>
  <c r="AW497" i="64" s="1"/>
  <c r="R932" i="64"/>
  <c r="R506" i="64"/>
  <c r="R508" i="64" s="1"/>
  <c r="AR497" i="64"/>
  <c r="CA932" i="64"/>
  <c r="AU504" i="64"/>
  <c r="AW503" i="64"/>
  <c r="BA506" i="64"/>
  <c r="BA508" i="64" s="1"/>
  <c r="BA932" i="64" s="1"/>
  <c r="S519" i="64"/>
  <c r="AS519" i="64"/>
  <c r="P536" i="64"/>
  <c r="P582" i="64" s="1"/>
  <c r="P680" i="64" s="1"/>
  <c r="AU534" i="64"/>
  <c r="AW527" i="64"/>
  <c r="AX527" i="64" s="1"/>
  <c r="AW531" i="64"/>
  <c r="AX531" i="64" s="1"/>
  <c r="AW533" i="64"/>
  <c r="AX533" i="64" s="1"/>
  <c r="J534" i="64"/>
  <c r="AW566" i="64"/>
  <c r="AX566" i="64" s="1"/>
  <c r="AX571" i="64"/>
  <c r="J576" i="64"/>
  <c r="K576" i="64" s="1"/>
  <c r="U599" i="64"/>
  <c r="BU599" i="64"/>
  <c r="AW595" i="64"/>
  <c r="AX595" i="64" s="1"/>
  <c r="K603" i="64"/>
  <c r="J605" i="64"/>
  <c r="K605" i="64" s="1"/>
  <c r="K627" i="64"/>
  <c r="J634" i="64"/>
  <c r="K634" i="64" s="1"/>
  <c r="W667" i="64"/>
  <c r="X667" i="64" s="1"/>
  <c r="X639" i="64"/>
  <c r="BK419" i="64"/>
  <c r="AW422" i="64"/>
  <c r="AX422" i="64" s="1"/>
  <c r="AW437" i="64"/>
  <c r="AX437" i="64" s="1"/>
  <c r="BK448" i="64"/>
  <c r="BX463" i="64"/>
  <c r="U471" i="64"/>
  <c r="BK474" i="64"/>
  <c r="J497" i="64"/>
  <c r="BN932" i="64"/>
  <c r="BN506" i="64"/>
  <c r="BN508" i="64" s="1"/>
  <c r="K503" i="64"/>
  <c r="BE506" i="64"/>
  <c r="BE508" i="64" s="1"/>
  <c r="J519" i="64"/>
  <c r="AW513" i="64"/>
  <c r="AW514" i="64" s="1"/>
  <c r="AU514" i="64"/>
  <c r="BR519" i="64"/>
  <c r="AK516" i="64"/>
  <c r="AJ517" i="64"/>
  <c r="AJ534" i="64"/>
  <c r="AK534" i="64" s="1"/>
  <c r="AW541" i="64"/>
  <c r="AX541" i="64" s="1"/>
  <c r="AX548" i="64"/>
  <c r="AW557" i="64"/>
  <c r="AX557" i="64" s="1"/>
  <c r="AW559" i="64"/>
  <c r="AX559" i="64" s="1"/>
  <c r="AX570" i="64"/>
  <c r="BJ588" i="64"/>
  <c r="BK585" i="64"/>
  <c r="AI599" i="64"/>
  <c r="AW593" i="64"/>
  <c r="BR932" i="64"/>
  <c r="BR506" i="64"/>
  <c r="BR508" i="64" s="1"/>
  <c r="Q56" i="4" s="1"/>
  <c r="AE506" i="64"/>
  <c r="AE508" i="64" s="1"/>
  <c r="AU517" i="64"/>
  <c r="AW516" i="64"/>
  <c r="AW517" i="64" s="1"/>
  <c r="AW561" i="64"/>
  <c r="AX561" i="64" s="1"/>
  <c r="AW564" i="64"/>
  <c r="AX564" i="64" s="1"/>
  <c r="AW573" i="64"/>
  <c r="AX573" i="64" s="1"/>
  <c r="W524" i="64"/>
  <c r="X524" i="64" s="1"/>
  <c r="BH605" i="64"/>
  <c r="AJ610" i="64"/>
  <c r="AK608" i="64"/>
  <c r="W634" i="64"/>
  <c r="X634" i="64" s="1"/>
  <c r="X628" i="64"/>
  <c r="AW630" i="64"/>
  <c r="AX630" i="64" s="1"/>
  <c r="AW643" i="64"/>
  <c r="AX643" i="64" s="1"/>
  <c r="AK676" i="64"/>
  <c r="AJ678" i="64"/>
  <c r="AK678" i="64" s="1"/>
  <c r="K499" i="64"/>
  <c r="X522" i="64"/>
  <c r="W576" i="64"/>
  <c r="X576" i="64" s="1"/>
  <c r="BJ576" i="64"/>
  <c r="BK576" i="64" s="1"/>
  <c r="AX554" i="64"/>
  <c r="AX555" i="64"/>
  <c r="AW560" i="64"/>
  <c r="AX560" i="64" s="1"/>
  <c r="AK588" i="64"/>
  <c r="J597" i="64"/>
  <c r="AU597" i="64"/>
  <c r="AX590" i="64"/>
  <c r="AX591" i="64"/>
  <c r="AW596" i="64"/>
  <c r="AX596" i="64" s="1"/>
  <c r="J610" i="64"/>
  <c r="J612" i="64" s="1"/>
  <c r="K612" i="64" s="1"/>
  <c r="K608" i="64"/>
  <c r="AM636" i="64"/>
  <c r="AM669" i="64" s="1"/>
  <c r="AW641" i="64"/>
  <c r="AX641" i="64" s="1"/>
  <c r="AW666" i="64"/>
  <c r="AX666" i="64" s="1"/>
  <c r="BU678" i="64"/>
  <c r="Z762" i="64"/>
  <c r="X762" i="64"/>
  <c r="W793" i="64"/>
  <c r="X793" i="64" s="1"/>
  <c r="AU588" i="64"/>
  <c r="AW610" i="64"/>
  <c r="W624" i="64"/>
  <c r="X622" i="64"/>
  <c r="BJ634" i="64"/>
  <c r="AX640" i="64"/>
  <c r="AX646" i="64"/>
  <c r="AX653" i="64"/>
  <c r="BJ617" i="64"/>
  <c r="BK615" i="64"/>
  <c r="H636" i="64"/>
  <c r="H669" i="64" s="1"/>
  <c r="AX684" i="64"/>
  <c r="AX688" i="64"/>
  <c r="BU721" i="64"/>
  <c r="BV582" i="64"/>
  <c r="AX572" i="64"/>
  <c r="X578" i="64"/>
  <c r="K585" i="64"/>
  <c r="BH599" i="64"/>
  <c r="BR599" i="64"/>
  <c r="BJ610" i="64"/>
  <c r="BK609" i="64"/>
  <c r="AX626" i="64"/>
  <c r="AX665" i="64"/>
  <c r="J667" i="64"/>
  <c r="K667" i="64" s="1"/>
  <c r="BH676" i="64"/>
  <c r="BK672" i="64"/>
  <c r="W691" i="64"/>
  <c r="X691" i="64" s="1"/>
  <c r="BH721" i="64"/>
  <c r="Z761" i="64"/>
  <c r="X761" i="64"/>
  <c r="J624" i="64"/>
  <c r="AJ667" i="64"/>
  <c r="AK667" i="64" s="1"/>
  <c r="AU686" i="64"/>
  <c r="AU691" i="64"/>
  <c r="W708" i="64"/>
  <c r="X708" i="64" s="1"/>
  <c r="AM721" i="64"/>
  <c r="AM734" i="64" s="1"/>
  <c r="AM754" i="64" s="1"/>
  <c r="J744" i="64"/>
  <c r="K737" i="64"/>
  <c r="AW767" i="64"/>
  <c r="AW769" i="64" s="1"/>
  <c r="BW695" i="64"/>
  <c r="AW705" i="64"/>
  <c r="AX705" i="64" s="1"/>
  <c r="BU708" i="64"/>
  <c r="BK713" i="64"/>
  <c r="BJ714" i="64"/>
  <c r="Z721" i="64"/>
  <c r="Z734" i="64" s="1"/>
  <c r="BJ732" i="64"/>
  <c r="AX724" i="64"/>
  <c r="W732" i="64"/>
  <c r="X732" i="64" s="1"/>
  <c r="AX742" i="64"/>
  <c r="BX622" i="64"/>
  <c r="BW634" i="64"/>
  <c r="AU667" i="64"/>
  <c r="AW649" i="64"/>
  <c r="AX649" i="64" s="1"/>
  <c r="AW656" i="64"/>
  <c r="AX656" i="64" s="1"/>
  <c r="AW660" i="64"/>
  <c r="AX660" i="64" s="1"/>
  <c r="AW672" i="64"/>
  <c r="AW676" i="64" s="1"/>
  <c r="AW678" i="64" s="1"/>
  <c r="H693" i="64"/>
  <c r="K713" i="64"/>
  <c r="J714" i="64"/>
  <c r="K714" i="64" s="1"/>
  <c r="AK714" i="64"/>
  <c r="BN734" i="64"/>
  <c r="BJ719" i="64"/>
  <c r="BK719" i="64" s="1"/>
  <c r="BK716" i="64"/>
  <c r="BU746" i="64"/>
  <c r="U829" i="64"/>
  <c r="AX609" i="64"/>
  <c r="AW639" i="64"/>
  <c r="AX655" i="64"/>
  <c r="AX659" i="64"/>
  <c r="AU676" i="64"/>
  <c r="K684" i="64"/>
  <c r="BA693" i="64"/>
  <c r="BA710" i="64" s="1"/>
  <c r="BK686" i="64"/>
  <c r="BU691" i="64"/>
  <c r="BX688" i="64"/>
  <c r="AW699" i="64"/>
  <c r="AW704" i="64"/>
  <c r="AX704" i="64" s="1"/>
  <c r="W716" i="64"/>
  <c r="W719" i="64" s="1"/>
  <c r="W721" i="64" s="1"/>
  <c r="U719" i="64"/>
  <c r="AX718" i="64"/>
  <c r="AJ732" i="64"/>
  <c r="AK732" i="64" s="1"/>
  <c r="AX731" i="64"/>
  <c r="BH732" i="64"/>
  <c r="AU744" i="64"/>
  <c r="AW737" i="64"/>
  <c r="BJ744" i="64"/>
  <c r="BJ746" i="64" s="1"/>
  <c r="BK746" i="64" s="1"/>
  <c r="H746" i="64"/>
  <c r="BW750" i="64"/>
  <c r="AR771" i="64"/>
  <c r="AU769" i="64"/>
  <c r="J769" i="64"/>
  <c r="K769" i="64" s="1"/>
  <c r="K767" i="64"/>
  <c r="AI795" i="64"/>
  <c r="AI838" i="64" s="1"/>
  <c r="AX785" i="64"/>
  <c r="X806" i="64"/>
  <c r="U808" i="64"/>
  <c r="X808" i="64" s="1"/>
  <c r="BJ827" i="64"/>
  <c r="BK827" i="64" s="1"/>
  <c r="J708" i="64"/>
  <c r="K708" i="64" s="1"/>
  <c r="J719" i="64"/>
  <c r="K719" i="64" s="1"/>
  <c r="AW773" i="64"/>
  <c r="AX773" i="64" s="1"/>
  <c r="AW787" i="64"/>
  <c r="AX787" i="64" s="1"/>
  <c r="AU732" i="64"/>
  <c r="AW723" i="64"/>
  <c r="AW732" i="64" s="1"/>
  <c r="AJ752" i="64"/>
  <c r="AW812" i="64"/>
  <c r="AW813" i="64" s="1"/>
  <c r="AW815" i="64" s="1"/>
  <c r="AU813" i="64"/>
  <c r="AX716" i="64"/>
  <c r="BX724" i="64"/>
  <c r="BK730" i="64"/>
  <c r="X738" i="64"/>
  <c r="W744" i="64"/>
  <c r="AK749" i="64"/>
  <c r="K759" i="64"/>
  <c r="AU764" i="64"/>
  <c r="AW759" i="64"/>
  <c r="AW762" i="64"/>
  <c r="AX762" i="64" s="1"/>
  <c r="BH771" i="64"/>
  <c r="AW791" i="64"/>
  <c r="AX791" i="64" s="1"/>
  <c r="BW714" i="64"/>
  <c r="BX713" i="64"/>
  <c r="AX727" i="64"/>
  <c r="AJ744" i="64"/>
  <c r="AX743" i="64"/>
  <c r="AU750" i="64"/>
  <c r="AW749" i="64"/>
  <c r="U771" i="64"/>
  <c r="BX773" i="64"/>
  <c r="BK774" i="64"/>
  <c r="BX776" i="64"/>
  <c r="BX813" i="64"/>
  <c r="W764" i="64"/>
  <c r="BU771" i="64"/>
  <c r="J793" i="64"/>
  <c r="K793" i="64" s="1"/>
  <c r="K773" i="64"/>
  <c r="AW777" i="64"/>
  <c r="AX777" i="64" s="1"/>
  <c r="N808" i="64"/>
  <c r="AI808" i="64"/>
  <c r="AS808" i="64"/>
  <c r="J827" i="64"/>
  <c r="AW825" i="64"/>
  <c r="BU837" i="64"/>
  <c r="BX835" i="64"/>
  <c r="AU863" i="64"/>
  <c r="AX844" i="64"/>
  <c r="BU898" i="64"/>
  <c r="AW780" i="64"/>
  <c r="AX780" i="64" s="1"/>
  <c r="AU829" i="64"/>
  <c r="BU829" i="64"/>
  <c r="BX819" i="64"/>
  <c r="BW835" i="64"/>
  <c r="U837" i="64"/>
  <c r="X837" i="64" s="1"/>
  <c r="X835" i="64"/>
  <c r="BH866" i="64"/>
  <c r="BJ867" i="64"/>
  <c r="H865" i="64"/>
  <c r="X879" i="64"/>
  <c r="U881" i="64"/>
  <c r="X881" i="64" s="1"/>
  <c r="AW893" i="64"/>
  <c r="AX893" i="64" s="1"/>
  <c r="AJ793" i="64"/>
  <c r="AK793" i="64" s="1"/>
  <c r="AU808" i="64"/>
  <c r="AX808" i="64" s="1"/>
  <c r="AJ819" i="64"/>
  <c r="AK818" i="64"/>
  <c r="BX827" i="64"/>
  <c r="X843" i="64"/>
  <c r="AJ769" i="64"/>
  <c r="AK766" i="64"/>
  <c r="AK773" i="64"/>
  <c r="BW775" i="64"/>
  <c r="BX775" i="64" s="1"/>
  <c r="BJ777" i="64"/>
  <c r="BK777" i="64" s="1"/>
  <c r="AW784" i="64"/>
  <c r="AX784" i="64" s="1"/>
  <c r="AW786" i="64"/>
  <c r="AX786" i="64" s="1"/>
  <c r="AX792" i="64"/>
  <c r="AJ827" i="64"/>
  <c r="AK827" i="64" s="1"/>
  <c r="AK821" i="64"/>
  <c r="AU835" i="64"/>
  <c r="AX835" i="64" s="1"/>
  <c r="AX832" i="64"/>
  <c r="AW832" i="64"/>
  <c r="AJ863" i="64"/>
  <c r="AW845" i="64"/>
  <c r="AX845" i="64" s="1"/>
  <c r="U865" i="64"/>
  <c r="BW769" i="64"/>
  <c r="M285" i="3" s="1"/>
  <c r="W827" i="64"/>
  <c r="X827" i="64" s="1"/>
  <c r="BJ863" i="64"/>
  <c r="AW891" i="64"/>
  <c r="AX891" i="64" s="1"/>
  <c r="BK898" i="64"/>
  <c r="AR905" i="64"/>
  <c r="AR907" i="64" s="1"/>
  <c r="AU901" i="64"/>
  <c r="W819" i="64"/>
  <c r="BK819" i="64"/>
  <c r="AX852" i="64"/>
  <c r="J863" i="64"/>
  <c r="AU879" i="64"/>
  <c r="BJ911" i="64"/>
  <c r="BJ913" i="64" s="1"/>
  <c r="BK910" i="64"/>
  <c r="J879" i="64"/>
  <c r="J881" i="64" s="1"/>
  <c r="AW872" i="64"/>
  <c r="AX872" i="64"/>
  <c r="BU881" i="64"/>
  <c r="BX881" i="64" s="1"/>
  <c r="AW902" i="64"/>
  <c r="AX902" i="64" s="1"/>
  <c r="AW878" i="64"/>
  <c r="AX878" i="64"/>
  <c r="AJ905" i="64"/>
  <c r="AK903" i="64"/>
  <c r="J905" i="64"/>
  <c r="J907" i="64" s="1"/>
  <c r="K907" i="64" s="1"/>
  <c r="K904" i="64"/>
  <c r="P924" i="64"/>
  <c r="AW843" i="64"/>
  <c r="AW858" i="64"/>
  <c r="W879" i="64"/>
  <c r="W881" i="64" s="1"/>
  <c r="BJ879" i="64"/>
  <c r="BJ881" i="64" s="1"/>
  <c r="AW877" i="64"/>
  <c r="BH881" i="64"/>
  <c r="BK881" i="64" s="1"/>
  <c r="K911" i="64"/>
  <c r="H913" i="64"/>
  <c r="K913" i="64" s="1"/>
  <c r="J898" i="64"/>
  <c r="K898" i="64" s="1"/>
  <c r="AJ911" i="64"/>
  <c r="AX904" i="64"/>
  <c r="BJ905" i="64"/>
  <c r="BK901" i="64"/>
  <c r="BX920" i="64"/>
  <c r="U922" i="64"/>
  <c r="BH922" i="64"/>
  <c r="BK896" i="64"/>
  <c r="BU922" i="64"/>
  <c r="N34" i="3" l="1"/>
  <c r="J10" i="61"/>
  <c r="N199" i="3"/>
  <c r="N108" i="3"/>
  <c r="J11" i="61"/>
  <c r="N144" i="3"/>
  <c r="N135" i="3"/>
  <c r="N66" i="3"/>
  <c r="N298" i="3"/>
  <c r="N126" i="3"/>
  <c r="N290" i="3"/>
  <c r="N303" i="3"/>
  <c r="N337" i="3"/>
  <c r="N267" i="3"/>
  <c r="N367" i="3"/>
  <c r="N347" i="3"/>
  <c r="N175" i="3"/>
  <c r="N246" i="3"/>
  <c r="N324" i="3"/>
  <c r="N352" i="3"/>
  <c r="N277" i="3"/>
  <c r="N24" i="3"/>
  <c r="N272" i="3"/>
  <c r="N43" i="3"/>
  <c r="N241" i="3"/>
  <c r="N88" i="3"/>
  <c r="N232" i="3"/>
  <c r="N113" i="3"/>
  <c r="N222" i="3"/>
  <c r="N71" i="3"/>
  <c r="N148" i="3"/>
  <c r="N227" i="3"/>
  <c r="N100" i="3"/>
  <c r="N187" i="3"/>
  <c r="N48" i="3"/>
  <c r="BX190" i="64"/>
  <c r="BX184" i="64"/>
  <c r="BX764" i="64"/>
  <c r="J19" i="3"/>
  <c r="AK719" i="64"/>
  <c r="BW612" i="64"/>
  <c r="BX612" i="64" s="1"/>
  <c r="BE416" i="64"/>
  <c r="BX610" i="64"/>
  <c r="AF924" i="64"/>
  <c r="X460" i="64"/>
  <c r="BZ924" i="64"/>
  <c r="L19" i="3"/>
  <c r="X905" i="64"/>
  <c r="BJ815" i="64"/>
  <c r="BK815" i="64" s="1"/>
  <c r="AK922" i="64"/>
  <c r="BH489" i="64"/>
  <c r="X603" i="64"/>
  <c r="N19" i="3"/>
  <c r="BK460" i="64"/>
  <c r="I210" i="3"/>
  <c r="I248" i="3" s="1"/>
  <c r="K617" i="64"/>
  <c r="AJ460" i="64"/>
  <c r="AK460" i="64" s="1"/>
  <c r="AM795" i="64"/>
  <c r="AM838" i="64" s="1"/>
  <c r="BR313" i="64"/>
  <c r="W612" i="64"/>
  <c r="X612" i="64" s="1"/>
  <c r="M111" i="3"/>
  <c r="M113" i="3" s="1"/>
  <c r="AE838" i="64"/>
  <c r="BK232" i="64"/>
  <c r="R838" i="64"/>
  <c r="O258" i="3"/>
  <c r="O279" i="3" s="1"/>
  <c r="K354" i="3"/>
  <c r="U924" i="64"/>
  <c r="V838" i="64"/>
  <c r="L187" i="3"/>
  <c r="L189" i="3" s="1"/>
  <c r="I258" i="3"/>
  <c r="I279" i="3" s="1"/>
  <c r="S924" i="64"/>
  <c r="N210" i="3"/>
  <c r="AZ838" i="64"/>
  <c r="O290" i="3"/>
  <c r="O317" i="3" s="1"/>
  <c r="AW910" i="64"/>
  <c r="AW911" i="64" s="1"/>
  <c r="AW913" i="64" s="1"/>
  <c r="AW835" i="64"/>
  <c r="AW837" i="64" s="1"/>
  <c r="AE924" i="64"/>
  <c r="BE795" i="64"/>
  <c r="BJ693" i="64"/>
  <c r="AX125" i="64"/>
  <c r="R754" i="64"/>
  <c r="X856" i="64"/>
  <c r="BS926" i="64"/>
  <c r="BS931" i="64" s="1"/>
  <c r="BS935" i="64" s="1"/>
  <c r="BS938" i="64" s="1"/>
  <c r="BS948" i="64" s="1"/>
  <c r="BS951" i="64" s="1"/>
  <c r="J210" i="3"/>
  <c r="J248" i="3" s="1"/>
  <c r="BJ373" i="64"/>
  <c r="K126" i="3"/>
  <c r="K177" i="3" s="1"/>
  <c r="AX819" i="64"/>
  <c r="AJ599" i="64"/>
  <c r="AK599" i="64" s="1"/>
  <c r="BE754" i="64"/>
  <c r="J258" i="3"/>
  <c r="J279" i="3" s="1"/>
  <c r="M71" i="3"/>
  <c r="N258" i="3"/>
  <c r="J354" i="3"/>
  <c r="BF924" i="64"/>
  <c r="BX588" i="64"/>
  <c r="BE445" i="64"/>
  <c r="I754" i="64"/>
  <c r="K290" i="3"/>
  <c r="K317" i="3" s="1"/>
  <c r="AN795" i="64"/>
  <c r="K471" i="64"/>
  <c r="BN710" i="64"/>
  <c r="BN754" i="64" s="1"/>
  <c r="AX887" i="64"/>
  <c r="P20" i="4"/>
  <c r="K210" i="3"/>
  <c r="K248" i="3" s="1"/>
  <c r="CA924" i="64"/>
  <c r="AI754" i="64"/>
  <c r="AV754" i="64"/>
  <c r="X182" i="64"/>
  <c r="BA754" i="64"/>
  <c r="BN795" i="64"/>
  <c r="BN838" i="64" s="1"/>
  <c r="K19" i="3"/>
  <c r="K115" i="3" s="1"/>
  <c r="N680" i="64"/>
  <c r="BI754" i="64"/>
  <c r="AS924" i="64"/>
  <c r="BR924" i="64"/>
  <c r="J126" i="3"/>
  <c r="J177" i="3" s="1"/>
  <c r="I354" i="3"/>
  <c r="AR754" i="64"/>
  <c r="K813" i="64"/>
  <c r="AU793" i="64"/>
  <c r="X184" i="64"/>
  <c r="AN754" i="64"/>
  <c r="AA754" i="64"/>
  <c r="BI838" i="64"/>
  <c r="AE754" i="64"/>
  <c r="AE416" i="64"/>
  <c r="AE491" i="64" s="1"/>
  <c r="I491" i="64"/>
  <c r="AX96" i="64"/>
  <c r="AX65" i="64"/>
  <c r="AX464" i="64"/>
  <c r="M754" i="64"/>
  <c r="L256" i="3"/>
  <c r="L258" i="3" s="1"/>
  <c r="L279" i="3" s="1"/>
  <c r="AS838" i="64"/>
  <c r="N754" i="64"/>
  <c r="AZ754" i="64"/>
  <c r="AW714" i="64"/>
  <c r="AX714" i="64" s="1"/>
  <c r="I19" i="3"/>
  <c r="I115" i="3" s="1"/>
  <c r="AA416" i="64"/>
  <c r="AA491" i="64" s="1"/>
  <c r="J290" i="3"/>
  <c r="J317" i="3" s="1"/>
  <c r="K215" i="64"/>
  <c r="BM754" i="64"/>
  <c r="CF754" i="64"/>
  <c r="U8" i="4"/>
  <c r="U11" i="4" s="1"/>
  <c r="T20" i="4"/>
  <c r="T23" i="4" s="1"/>
  <c r="O354" i="3"/>
  <c r="L354" i="3"/>
  <c r="O187" i="3"/>
  <c r="O189" i="3" s="1"/>
  <c r="O210" i="3"/>
  <c r="O248" i="3" s="1"/>
  <c r="O19" i="3"/>
  <c r="O115" i="3" s="1"/>
  <c r="AK752" i="64"/>
  <c r="BX469" i="64"/>
  <c r="M164" i="3"/>
  <c r="AF354" i="64"/>
  <c r="AF491" i="64" s="1"/>
  <c r="K14" i="4"/>
  <c r="K17" i="4" s="1"/>
  <c r="S354" i="64"/>
  <c r="S491" i="64" s="1"/>
  <c r="I14" i="4"/>
  <c r="M20" i="4"/>
  <c r="M23" i="4" s="1"/>
  <c r="M8" i="4"/>
  <c r="M11" i="4" s="1"/>
  <c r="Q8" i="4"/>
  <c r="Q11" i="4" s="1"/>
  <c r="T8" i="4"/>
  <c r="T11" i="4" s="1"/>
  <c r="BX289" i="64"/>
  <c r="M120" i="3"/>
  <c r="BW829" i="64"/>
  <c r="BX829" i="64" s="1"/>
  <c r="M308" i="3"/>
  <c r="BW815" i="64"/>
  <c r="BX815" i="64" s="1"/>
  <c r="M301" i="3"/>
  <c r="AF795" i="64"/>
  <c r="AF838" i="64" s="1"/>
  <c r="K32" i="4"/>
  <c r="K35" i="4" s="1"/>
  <c r="Q15" i="4"/>
  <c r="L124" i="3"/>
  <c r="I20" i="4"/>
  <c r="O8" i="4"/>
  <c r="O11" i="4" s="1"/>
  <c r="O20" i="4"/>
  <c r="O23" i="4" s="1"/>
  <c r="Q20" i="4"/>
  <c r="Q23" i="4" s="1"/>
  <c r="BW752" i="64"/>
  <c r="BX752" i="64" s="1"/>
  <c r="M275" i="3"/>
  <c r="AS354" i="64"/>
  <c r="M14" i="4"/>
  <c r="M17" i="4" s="1"/>
  <c r="BW922" i="64"/>
  <c r="BX922" i="64" s="1"/>
  <c r="S50" i="4"/>
  <c r="S51" i="4" s="1"/>
  <c r="I680" i="64"/>
  <c r="AF710" i="64"/>
  <c r="AF754" i="64" s="1"/>
  <c r="K26" i="4"/>
  <c r="K29" i="4" s="1"/>
  <c r="BK752" i="64"/>
  <c r="BF354" i="64"/>
  <c r="BF491" i="64" s="1"/>
  <c r="O14" i="4"/>
  <c r="O17" i="4" s="1"/>
  <c r="BR375" i="64"/>
  <c r="BR416" i="64" s="1"/>
  <c r="L130" i="3"/>
  <c r="BX479" i="64"/>
  <c r="M170" i="3"/>
  <c r="BF795" i="64"/>
  <c r="BF838" i="64" s="1"/>
  <c r="O32" i="4"/>
  <c r="O35" i="4" s="1"/>
  <c r="K8" i="4"/>
  <c r="K11" i="4" s="1"/>
  <c r="BW837" i="64"/>
  <c r="M313" i="3"/>
  <c r="M315" i="3" s="1"/>
  <c r="P315" i="3" s="1"/>
  <c r="L288" i="3"/>
  <c r="Q33" i="4"/>
  <c r="Q35" i="4" s="1"/>
  <c r="BW460" i="64"/>
  <c r="BX460" i="64" s="1"/>
  <c r="M153" i="3"/>
  <c r="BW605" i="64"/>
  <c r="BX605" i="64" s="1"/>
  <c r="M220" i="3"/>
  <c r="M104" i="3"/>
  <c r="K20" i="4"/>
  <c r="K23" i="4" s="1"/>
  <c r="M35" i="4"/>
  <c r="U32" i="4"/>
  <c r="U35" i="4" s="1"/>
  <c r="BW519" i="64"/>
  <c r="BX519" i="64" s="1"/>
  <c r="M194" i="3"/>
  <c r="BR710" i="64"/>
  <c r="BR754" i="64" s="1"/>
  <c r="Q26" i="4"/>
  <c r="Q29" i="4" s="1"/>
  <c r="BZ795" i="64"/>
  <c r="BZ838" i="64" s="1"/>
  <c r="T32" i="4"/>
  <c r="T35" i="4" s="1"/>
  <c r="AS710" i="64"/>
  <c r="AS754" i="64" s="1"/>
  <c r="M26" i="4"/>
  <c r="M29" i="4" s="1"/>
  <c r="BF710" i="64"/>
  <c r="BF754" i="64" s="1"/>
  <c r="O26" i="4"/>
  <c r="O29" i="4" s="1"/>
  <c r="I8" i="4"/>
  <c r="BX62" i="64"/>
  <c r="M30" i="3"/>
  <c r="BW881" i="64"/>
  <c r="M330" i="3"/>
  <c r="M332" i="3" s="1"/>
  <c r="S710" i="64"/>
  <c r="S754" i="64" s="1"/>
  <c r="I26" i="4"/>
  <c r="BX517" i="64"/>
  <c r="M197" i="3"/>
  <c r="BZ710" i="64"/>
  <c r="BZ754" i="64" s="1"/>
  <c r="T26" i="4"/>
  <c r="T29" i="4" s="1"/>
  <c r="S795" i="64"/>
  <c r="S838" i="64" s="1"/>
  <c r="I32" i="4"/>
  <c r="X752" i="64"/>
  <c r="BZ354" i="64"/>
  <c r="BZ491" i="64" s="1"/>
  <c r="T14" i="4"/>
  <c r="T17" i="4" s="1"/>
  <c r="U14" i="4"/>
  <c r="U17" i="4" s="1"/>
  <c r="U26" i="4"/>
  <c r="U29" i="4" s="1"/>
  <c r="V754" i="64"/>
  <c r="BR178" i="64"/>
  <c r="BR281" i="64" s="1"/>
  <c r="L64" i="3"/>
  <c r="L66" i="3" s="1"/>
  <c r="BW678" i="64"/>
  <c r="BX678" i="64" s="1"/>
  <c r="M244" i="3"/>
  <c r="I317" i="3"/>
  <c r="BX154" i="64"/>
  <c r="BX634" i="64"/>
  <c r="M236" i="3"/>
  <c r="BX732" i="64"/>
  <c r="M265" i="3"/>
  <c r="BX504" i="64"/>
  <c r="E11" i="61"/>
  <c r="M185" i="3"/>
  <c r="BX501" i="64"/>
  <c r="M183" i="3"/>
  <c r="E10" i="61"/>
  <c r="E9" i="61"/>
  <c r="M181" i="3"/>
  <c r="M217" i="3"/>
  <c r="BX414" i="64"/>
  <c r="M133" i="3"/>
  <c r="BX39" i="64"/>
  <c r="M17" i="3"/>
  <c r="BX267" i="64"/>
  <c r="M106" i="3"/>
  <c r="BX198" i="64"/>
  <c r="M77" i="3"/>
  <c r="M124" i="3"/>
  <c r="BK443" i="64"/>
  <c r="BX443" i="64"/>
  <c r="M142" i="3"/>
  <c r="BW52" i="64"/>
  <c r="BX52" i="64" s="1"/>
  <c r="M22" i="3"/>
  <c r="BW907" i="64"/>
  <c r="M345" i="3"/>
  <c r="BX905" i="64"/>
  <c r="BX806" i="64"/>
  <c r="M296" i="3"/>
  <c r="BW808" i="64"/>
  <c r="BX808" i="64" s="1"/>
  <c r="BW913" i="64"/>
  <c r="M350" i="3"/>
  <c r="BW887" i="64"/>
  <c r="M335" i="3"/>
  <c r="S45" i="4"/>
  <c r="S47" i="4" s="1"/>
  <c r="BX863" i="64"/>
  <c r="M322" i="3"/>
  <c r="S39" i="4"/>
  <c r="S41" i="4" s="1"/>
  <c r="M286" i="3"/>
  <c r="BW771" i="64"/>
  <c r="S32" i="4" s="1"/>
  <c r="BV754" i="64"/>
  <c r="BX719" i="64"/>
  <c r="M262" i="3"/>
  <c r="BW721" i="64"/>
  <c r="BW734" i="64" s="1"/>
  <c r="M261" i="3"/>
  <c r="BX686" i="64"/>
  <c r="M252" i="3"/>
  <c r="BX624" i="64"/>
  <c r="M235" i="3"/>
  <c r="BX534" i="64"/>
  <c r="M203" i="3"/>
  <c r="BX430" i="64"/>
  <c r="M139" i="3"/>
  <c r="BX249" i="64"/>
  <c r="M97" i="3"/>
  <c r="M84" i="3"/>
  <c r="BX125" i="64"/>
  <c r="M56" i="3"/>
  <c r="BX96" i="64"/>
  <c r="M47" i="3"/>
  <c r="BX74" i="64"/>
  <c r="M38" i="3"/>
  <c r="BX71" i="64"/>
  <c r="M37" i="3"/>
  <c r="BW76" i="64"/>
  <c r="BX76" i="64" s="1"/>
  <c r="BW29" i="64"/>
  <c r="BX29" i="64" s="1"/>
  <c r="M13" i="3"/>
  <c r="BX359" i="64"/>
  <c r="M129" i="3"/>
  <c r="BX232" i="64"/>
  <c r="M86" i="3"/>
  <c r="W30" i="1"/>
  <c r="X30" i="1"/>
  <c r="BW746" i="64"/>
  <c r="BX746" i="64" s="1"/>
  <c r="M270" i="3"/>
  <c r="BX576" i="64"/>
  <c r="M206" i="3"/>
  <c r="BX142" i="64"/>
  <c r="M59" i="3"/>
  <c r="BX27" i="64"/>
  <c r="M14" i="3"/>
  <c r="L210" i="3"/>
  <c r="L248" i="3" s="1"/>
  <c r="K279" i="3"/>
  <c r="O177" i="3"/>
  <c r="M368" i="3"/>
  <c r="J115" i="3"/>
  <c r="I177" i="3"/>
  <c r="AR795" i="64"/>
  <c r="AR838" i="64" s="1"/>
  <c r="AJ451" i="64"/>
  <c r="AN924" i="64"/>
  <c r="BU669" i="64"/>
  <c r="AN680" i="64"/>
  <c r="BF669" i="64"/>
  <c r="BF680" i="64" s="1"/>
  <c r="AV838" i="64"/>
  <c r="BW200" i="64"/>
  <c r="BX200" i="64" s="1"/>
  <c r="AI281" i="64"/>
  <c r="J752" i="64"/>
  <c r="AK617" i="64"/>
  <c r="W251" i="64"/>
  <c r="W253" i="64" s="1"/>
  <c r="BV838" i="64"/>
  <c r="N838" i="64"/>
  <c r="AZ491" i="64"/>
  <c r="X617" i="64"/>
  <c r="K460" i="64"/>
  <c r="AW693" i="64"/>
  <c r="AI506" i="64"/>
  <c r="AI508" i="64" s="1"/>
  <c r="M281" i="64"/>
  <c r="H838" i="64"/>
  <c r="BW599" i="64"/>
  <c r="BX599" i="64" s="1"/>
  <c r="AX182" i="64"/>
  <c r="AF680" i="64"/>
  <c r="BN680" i="64"/>
  <c r="AU198" i="64"/>
  <c r="AU200" i="64" s="1"/>
  <c r="BH924" i="64"/>
  <c r="AU719" i="64"/>
  <c r="AU721" i="64" s="1"/>
  <c r="BK750" i="64"/>
  <c r="V491" i="64"/>
  <c r="AW198" i="64"/>
  <c r="AK198" i="64"/>
  <c r="BJ9" i="64"/>
  <c r="BK9" i="64" s="1"/>
  <c r="AX627" i="64"/>
  <c r="AN416" i="64"/>
  <c r="AN491" i="64" s="1"/>
  <c r="X76" i="64"/>
  <c r="X750" i="64"/>
  <c r="BX603" i="64"/>
  <c r="BM491" i="64"/>
  <c r="BE115" i="64"/>
  <c r="BH710" i="64"/>
  <c r="AU634" i="64"/>
  <c r="AU636" i="64" s="1"/>
  <c r="AU669" i="64" s="1"/>
  <c r="AW896" i="64"/>
  <c r="AW898" i="64" s="1"/>
  <c r="AX898" i="64" s="1"/>
  <c r="R491" i="64"/>
  <c r="BX602" i="64"/>
  <c r="AS680" i="64"/>
  <c r="BW481" i="64"/>
  <c r="BX481" i="64" s="1"/>
  <c r="AU414" i="64"/>
  <c r="BX18" i="64"/>
  <c r="BA445" i="64"/>
  <c r="M838" i="64"/>
  <c r="BM680" i="64"/>
  <c r="K686" i="64"/>
  <c r="AR924" i="64"/>
  <c r="AW50" i="64"/>
  <c r="AW52" i="64" s="1"/>
  <c r="BK708" i="64"/>
  <c r="BJ200" i="64"/>
  <c r="BK200" i="64" s="1"/>
  <c r="AR680" i="64"/>
  <c r="BJ771" i="64"/>
  <c r="BK771" i="64" s="1"/>
  <c r="I838" i="64"/>
  <c r="X605" i="64"/>
  <c r="AS281" i="64"/>
  <c r="BM838" i="64"/>
  <c r="AA795" i="64"/>
  <c r="AA838" i="64" s="1"/>
  <c r="BA234" i="64"/>
  <c r="BA281" i="64" s="1"/>
  <c r="J200" i="64"/>
  <c r="K200" i="64" s="1"/>
  <c r="AA924" i="64"/>
  <c r="H924" i="64"/>
  <c r="AX238" i="64"/>
  <c r="AU460" i="64"/>
  <c r="AX460" i="64" s="1"/>
  <c r="X125" i="64"/>
  <c r="BK920" i="64"/>
  <c r="W373" i="64"/>
  <c r="X373" i="64" s="1"/>
  <c r="AN838" i="64"/>
  <c r="CF281" i="64"/>
  <c r="AU144" i="64"/>
  <c r="AX922" i="64"/>
  <c r="BK605" i="64"/>
  <c r="BR354" i="64"/>
  <c r="W127" i="64"/>
  <c r="W144" i="64" s="1"/>
  <c r="BX913" i="64"/>
  <c r="BI680" i="64"/>
  <c r="Z491" i="64"/>
  <c r="BA680" i="64"/>
  <c r="BE680" i="64"/>
  <c r="AM924" i="64"/>
  <c r="W896" i="64"/>
  <c r="X896" i="64" s="1"/>
  <c r="BU924" i="64"/>
  <c r="X813" i="64"/>
  <c r="AX920" i="64"/>
  <c r="BW693" i="64"/>
  <c r="AX691" i="64"/>
  <c r="V680" i="64"/>
  <c r="AJ215" i="64"/>
  <c r="AJ234" i="64" s="1"/>
  <c r="AK234" i="64" s="1"/>
  <c r="I281" i="64"/>
  <c r="J924" i="64"/>
  <c r="BK603" i="64"/>
  <c r="BZ680" i="64"/>
  <c r="R680" i="64"/>
  <c r="AK50" i="64"/>
  <c r="BJ829" i="64"/>
  <c r="BK829" i="64" s="1"/>
  <c r="AI680" i="64"/>
  <c r="AZ281" i="64"/>
  <c r="BK693" i="64"/>
  <c r="CF491" i="64"/>
  <c r="AJ471" i="64"/>
  <c r="AK471" i="64" s="1"/>
  <c r="AS491" i="64"/>
  <c r="BF281" i="64"/>
  <c r="BE234" i="64"/>
  <c r="X198" i="64"/>
  <c r="X449" i="64"/>
  <c r="X451" i="64" s="1"/>
  <c r="AM281" i="64"/>
  <c r="AX463" i="64"/>
  <c r="BX744" i="64"/>
  <c r="AX496" i="64"/>
  <c r="M491" i="64"/>
  <c r="AX455" i="64"/>
  <c r="AE680" i="64"/>
  <c r="AX184" i="64"/>
  <c r="AM680" i="64"/>
  <c r="BN281" i="64"/>
  <c r="Z281" i="64"/>
  <c r="N281" i="64"/>
  <c r="AV680" i="64"/>
  <c r="CF680" i="64"/>
  <c r="V281" i="64"/>
  <c r="BZ281" i="64"/>
  <c r="CF838" i="64"/>
  <c r="BE838" i="64"/>
  <c r="BV281" i="64"/>
  <c r="X716" i="64"/>
  <c r="BW708" i="64"/>
  <c r="S27" i="4" s="1"/>
  <c r="BR680" i="64"/>
  <c r="J536" i="64"/>
  <c r="J582" i="64" s="1"/>
  <c r="K582" i="64" s="1"/>
  <c r="AW430" i="64"/>
  <c r="AX430" i="64" s="1"/>
  <c r="K455" i="64"/>
  <c r="AW258" i="64"/>
  <c r="AX258" i="64" s="1"/>
  <c r="W98" i="64"/>
  <c r="W115" i="64" s="1"/>
  <c r="AW76" i="64"/>
  <c r="BX911" i="64"/>
  <c r="BU489" i="64"/>
  <c r="AV491" i="64"/>
  <c r="K896" i="64"/>
  <c r="BX750" i="64"/>
  <c r="AW764" i="64"/>
  <c r="AW771" i="64" s="1"/>
  <c r="S680" i="64"/>
  <c r="Z519" i="64"/>
  <c r="Z680" i="64" s="1"/>
  <c r="AW251" i="64"/>
  <c r="AW253" i="64" s="1"/>
  <c r="AU67" i="64"/>
  <c r="BW215" i="64"/>
  <c r="BX215" i="64" s="1"/>
  <c r="BX50" i="64"/>
  <c r="BJ710" i="64"/>
  <c r="BR795" i="64"/>
  <c r="BR838" i="64" s="1"/>
  <c r="AX458" i="64"/>
  <c r="AA680" i="64"/>
  <c r="BX455" i="64"/>
  <c r="W506" i="64"/>
  <c r="W508" i="64" s="1"/>
  <c r="X508" i="64" s="1"/>
  <c r="AR416" i="64"/>
  <c r="J127" i="64"/>
  <c r="BW471" i="64"/>
  <c r="BX471" i="64" s="1"/>
  <c r="BJ251" i="64"/>
  <c r="BK251" i="64" s="1"/>
  <c r="AV281" i="64"/>
  <c r="AW18" i="64"/>
  <c r="AX18" i="64" s="1"/>
  <c r="BX342" i="64"/>
  <c r="BJ471" i="64"/>
  <c r="BK471" i="64" s="1"/>
  <c r="X200" i="64"/>
  <c r="AJ815" i="64"/>
  <c r="AK815" i="64" s="1"/>
  <c r="W771" i="64"/>
  <c r="W795" i="64" s="1"/>
  <c r="AW719" i="64"/>
  <c r="M680" i="64"/>
  <c r="AX501" i="64"/>
  <c r="AX602" i="64"/>
  <c r="AI491" i="64"/>
  <c r="BK217" i="64"/>
  <c r="AF281" i="64"/>
  <c r="BM281" i="64"/>
  <c r="AA281" i="64"/>
  <c r="AW279" i="64"/>
  <c r="AE281" i="64"/>
  <c r="BA795" i="64"/>
  <c r="BA838" i="64" s="1"/>
  <c r="AZ680" i="64"/>
  <c r="W432" i="64"/>
  <c r="W445" i="64" s="1"/>
  <c r="AJ98" i="64"/>
  <c r="AJ115" i="64" s="1"/>
  <c r="AK115" i="64" s="1"/>
  <c r="AX516" i="64"/>
  <c r="Z744" i="64"/>
  <c r="Z746" i="64" s="1"/>
  <c r="Z754" i="64" s="1"/>
  <c r="N491" i="64"/>
  <c r="BV491" i="64"/>
  <c r="AM416" i="64"/>
  <c r="AM491" i="64" s="1"/>
  <c r="BI491" i="64"/>
  <c r="BX73" i="64"/>
  <c r="AJ29" i="64"/>
  <c r="Z764" i="64"/>
  <c r="Z771" i="64" s="1"/>
  <c r="Z795" i="64" s="1"/>
  <c r="Z838" i="64" s="1"/>
  <c r="BK198" i="64"/>
  <c r="X885" i="64"/>
  <c r="BW667" i="64"/>
  <c r="M239" i="3" s="1"/>
  <c r="W599" i="64"/>
  <c r="X599" i="64" s="1"/>
  <c r="W269" i="64"/>
  <c r="X269" i="64" s="1"/>
  <c r="BX352" i="64"/>
  <c r="BK885" i="64"/>
  <c r="AW634" i="64"/>
  <c r="AW827" i="64"/>
  <c r="AW829" i="64" s="1"/>
  <c r="AX829" i="64" s="1"/>
  <c r="W734" i="64"/>
  <c r="BX676" i="64"/>
  <c r="BX514" i="64"/>
  <c r="AX479" i="64"/>
  <c r="X425" i="64"/>
  <c r="BJ176" i="64"/>
  <c r="BJ178" i="64" s="1"/>
  <c r="BK178" i="64" s="1"/>
  <c r="J375" i="64"/>
  <c r="J416" i="64" s="1"/>
  <c r="BX311" i="64"/>
  <c r="AW27" i="64"/>
  <c r="AX27" i="64" s="1"/>
  <c r="AN281" i="64"/>
  <c r="W87" i="64"/>
  <c r="X87" i="64" s="1"/>
  <c r="AR281" i="64"/>
  <c r="AW39" i="64"/>
  <c r="AX39" i="64" s="1"/>
  <c r="W311" i="64"/>
  <c r="W313" i="64" s="1"/>
  <c r="W354" i="64" s="1"/>
  <c r="BJ487" i="64"/>
  <c r="BJ489" i="64" s="1"/>
  <c r="BK489" i="64" s="1"/>
  <c r="AX249" i="64"/>
  <c r="X92" i="64"/>
  <c r="K610" i="64"/>
  <c r="AX513" i="64"/>
  <c r="K619" i="64"/>
  <c r="AX522" i="64"/>
  <c r="BW506" i="64"/>
  <c r="BX506" i="64" s="1"/>
  <c r="AX427" i="64"/>
  <c r="AR354" i="64"/>
  <c r="BJ234" i="64"/>
  <c r="AW62" i="64"/>
  <c r="AW67" i="64" s="1"/>
  <c r="S281" i="64"/>
  <c r="AJ67" i="64"/>
  <c r="AK67" i="64" s="1"/>
  <c r="AK18" i="64"/>
  <c r="BW98" i="64"/>
  <c r="BX98" i="64" s="1"/>
  <c r="BJ98" i="64"/>
  <c r="BK98" i="64" s="1"/>
  <c r="BJ269" i="64"/>
  <c r="BK269" i="64" s="1"/>
  <c r="AX632" i="64"/>
  <c r="AW617" i="64"/>
  <c r="AW619" i="64" s="1"/>
  <c r="AX619" i="64" s="1"/>
  <c r="K245" i="64"/>
  <c r="J251" i="64"/>
  <c r="J253" i="64" s="1"/>
  <c r="AW120" i="64"/>
  <c r="AX64" i="64"/>
  <c r="BK479" i="64"/>
  <c r="BI281" i="64"/>
  <c r="BJ67" i="64"/>
  <c r="BK67" i="64" s="1"/>
  <c r="R281" i="64"/>
  <c r="AW98" i="64"/>
  <c r="BW619" i="64"/>
  <c r="BX619" i="64" s="1"/>
  <c r="BX617" i="64"/>
  <c r="AX203" i="64"/>
  <c r="AX205" i="64" s="1"/>
  <c r="AJ693" i="64"/>
  <c r="AK686" i="64"/>
  <c r="BN354" i="64"/>
  <c r="BN491" i="64" s="1"/>
  <c r="AX812" i="64"/>
  <c r="AX769" i="64"/>
  <c r="BX714" i="64"/>
  <c r="BV680" i="64"/>
  <c r="X497" i="64"/>
  <c r="BW536" i="64"/>
  <c r="AX477" i="64"/>
  <c r="AX448" i="64"/>
  <c r="BA416" i="64"/>
  <c r="BW251" i="64"/>
  <c r="BX251" i="64" s="1"/>
  <c r="AU215" i="64"/>
  <c r="AU234" i="64" s="1"/>
  <c r="P281" i="64"/>
  <c r="BW127" i="64"/>
  <c r="BX127" i="64" s="1"/>
  <c r="AX457" i="64"/>
  <c r="AX181" i="64"/>
  <c r="X764" i="64"/>
  <c r="AK597" i="64"/>
  <c r="AJ636" i="64"/>
  <c r="AJ669" i="64" s="1"/>
  <c r="BJ352" i="64"/>
  <c r="BK352" i="64" s="1"/>
  <c r="BW269" i="64"/>
  <c r="AX33" i="64"/>
  <c r="BX597" i="64"/>
  <c r="AK885" i="64"/>
  <c r="J234" i="64"/>
  <c r="K234" i="64" s="1"/>
  <c r="BX866" i="64"/>
  <c r="BK85" i="64"/>
  <c r="AW879" i="64"/>
  <c r="AW881" i="64" s="1"/>
  <c r="BK732" i="64"/>
  <c r="BW636" i="64"/>
  <c r="BW373" i="64"/>
  <c r="M130" i="3" s="1"/>
  <c r="BX85" i="64"/>
  <c r="BJ113" i="64"/>
  <c r="K176" i="64"/>
  <c r="BX885" i="64"/>
  <c r="J27" i="1"/>
  <c r="K27" i="1" s="1"/>
  <c r="K16" i="1"/>
  <c r="BK913" i="64"/>
  <c r="AK896" i="64"/>
  <c r="AJ898" i="64"/>
  <c r="AK898" i="64" s="1"/>
  <c r="J865" i="64"/>
  <c r="J866" i="64" s="1"/>
  <c r="K863" i="64"/>
  <c r="U866" i="64"/>
  <c r="X866" i="64" s="1"/>
  <c r="X865" i="64"/>
  <c r="BX837" i="64"/>
  <c r="AX759" i="64"/>
  <c r="BX769" i="64"/>
  <c r="AW708" i="64"/>
  <c r="AX699" i="64"/>
  <c r="BH734" i="64"/>
  <c r="BK610" i="64"/>
  <c r="BJ612" i="64"/>
  <c r="BK612" i="64" s="1"/>
  <c r="AK517" i="64"/>
  <c r="AJ519" i="64"/>
  <c r="AK519" i="64" s="1"/>
  <c r="AW534" i="64"/>
  <c r="AX534" i="64" s="1"/>
  <c r="BJ414" i="64"/>
  <c r="BK414" i="64" s="1"/>
  <c r="BK379" i="64"/>
  <c r="AX603" i="64"/>
  <c r="AU605" i="64"/>
  <c r="AX605" i="64" s="1"/>
  <c r="AJ536" i="64"/>
  <c r="AK524" i="64"/>
  <c r="AW636" i="64"/>
  <c r="AX624" i="64"/>
  <c r="J481" i="64"/>
  <c r="K475" i="64"/>
  <c r="X922" i="64"/>
  <c r="AW901" i="64"/>
  <c r="AW905" i="64" s="1"/>
  <c r="AW907" i="64" s="1"/>
  <c r="AU905" i="64"/>
  <c r="BJ865" i="64"/>
  <c r="BK863" i="64"/>
  <c r="BJ793" i="64"/>
  <c r="AU771" i="64"/>
  <c r="AX672" i="64"/>
  <c r="AR932" i="64"/>
  <c r="AR506" i="64"/>
  <c r="AR508" i="64" s="1"/>
  <c r="W693" i="64"/>
  <c r="X686" i="64"/>
  <c r="BJ536" i="64"/>
  <c r="BJ582" i="64" s="1"/>
  <c r="BK524" i="64"/>
  <c r="AX378" i="64"/>
  <c r="AW414" i="64"/>
  <c r="AK373" i="64"/>
  <c r="AJ375" i="64"/>
  <c r="W481" i="64"/>
  <c r="W471" i="64"/>
  <c r="X471" i="64" s="1"/>
  <c r="X464" i="64"/>
  <c r="AX138" i="64"/>
  <c r="AW142" i="64"/>
  <c r="AX142" i="64" s="1"/>
  <c r="BX258" i="64"/>
  <c r="AU471" i="64"/>
  <c r="BU115" i="64"/>
  <c r="AX243" i="64"/>
  <c r="W215" i="64"/>
  <c r="BW113" i="64"/>
  <c r="BX101" i="64"/>
  <c r="BJ52" i="64"/>
  <c r="BK52" i="64" s="1"/>
  <c r="BK50" i="64"/>
  <c r="AJ865" i="64"/>
  <c r="AK863" i="64"/>
  <c r="AK769" i="64"/>
  <c r="AJ771" i="64"/>
  <c r="BU795" i="64"/>
  <c r="BH795" i="64"/>
  <c r="BX691" i="64"/>
  <c r="BU693" i="64"/>
  <c r="AK721" i="64"/>
  <c r="AJ734" i="64"/>
  <c r="AK734" i="64" s="1"/>
  <c r="AW612" i="64"/>
  <c r="AX612" i="64" s="1"/>
  <c r="AX610" i="64"/>
  <c r="K597" i="64"/>
  <c r="J599" i="64"/>
  <c r="K599" i="64" s="1"/>
  <c r="BJ599" i="64"/>
  <c r="BK599" i="64" s="1"/>
  <c r="BK588" i="64"/>
  <c r="AW359" i="64"/>
  <c r="AX357" i="64"/>
  <c r="BU416" i="64"/>
  <c r="U115" i="64"/>
  <c r="AU251" i="64"/>
  <c r="AX245" i="64"/>
  <c r="AK905" i="64"/>
  <c r="AJ907" i="64"/>
  <c r="AK907" i="64" s="1"/>
  <c r="AX879" i="64"/>
  <c r="AU881" i="64"/>
  <c r="AX881" i="64" s="1"/>
  <c r="BX865" i="64"/>
  <c r="AK819" i="64"/>
  <c r="AJ829" i="64"/>
  <c r="BW793" i="64"/>
  <c r="S33" i="4" s="1"/>
  <c r="AW750" i="64"/>
  <c r="AW752" i="64" s="1"/>
  <c r="AX749" i="64"/>
  <c r="AU815" i="64"/>
  <c r="AX815" i="64" s="1"/>
  <c r="AX813" i="64"/>
  <c r="BJ721" i="64"/>
  <c r="BJ734" i="64" s="1"/>
  <c r="BK714" i="64"/>
  <c r="BX695" i="64"/>
  <c r="AX686" i="64"/>
  <c r="AU693" i="64"/>
  <c r="J771" i="64"/>
  <c r="BU734" i="64"/>
  <c r="BK634" i="64"/>
  <c r="BJ636" i="64"/>
  <c r="BJ669" i="64" s="1"/>
  <c r="AW504" i="64"/>
  <c r="AW506" i="64" s="1"/>
  <c r="AW508" i="64" s="1"/>
  <c r="AW932" i="64" s="1"/>
  <c r="AX503" i="64"/>
  <c r="AU536" i="64"/>
  <c r="AX524" i="64"/>
  <c r="AW364" i="64"/>
  <c r="AW373" i="64" s="1"/>
  <c r="AU373" i="64"/>
  <c r="BK481" i="64"/>
  <c r="BH508" i="64"/>
  <c r="BW432" i="64"/>
  <c r="BX425" i="64"/>
  <c r="AX315" i="64"/>
  <c r="J279" i="64"/>
  <c r="K279" i="64" s="1"/>
  <c r="BH582" i="64"/>
  <c r="BK279" i="64"/>
  <c r="BW178" i="64"/>
  <c r="BX178" i="64" s="1"/>
  <c r="BX176" i="64"/>
  <c r="W29" i="64"/>
  <c r="X18" i="64"/>
  <c r="AK911" i="64"/>
  <c r="AJ913" i="64"/>
  <c r="AU913" i="64"/>
  <c r="X863" i="64"/>
  <c r="AU865" i="64"/>
  <c r="AX825" i="64"/>
  <c r="X744" i="64"/>
  <c r="W746" i="64"/>
  <c r="J746" i="64"/>
  <c r="K744" i="64"/>
  <c r="BK617" i="64"/>
  <c r="BJ619" i="64"/>
  <c r="BK619" i="64" s="1"/>
  <c r="AX588" i="64"/>
  <c r="AU599" i="64"/>
  <c r="K534" i="64"/>
  <c r="AJ489" i="64"/>
  <c r="AK481" i="64"/>
  <c r="AW576" i="64"/>
  <c r="AX576" i="64" s="1"/>
  <c r="AW443" i="64"/>
  <c r="AX443" i="64" s="1"/>
  <c r="BW487" i="64"/>
  <c r="BX486" i="64"/>
  <c r="AW475" i="64"/>
  <c r="AW481" i="64" s="1"/>
  <c r="AX474" i="64"/>
  <c r="AJ313" i="64"/>
  <c r="AK313" i="64" s="1"/>
  <c r="AK311" i="64"/>
  <c r="AU313" i="64"/>
  <c r="AX289" i="64"/>
  <c r="BH375" i="64"/>
  <c r="BK373" i="64"/>
  <c r="W829" i="64"/>
  <c r="X829" i="64" s="1"/>
  <c r="X819" i="64"/>
  <c r="BW898" i="64"/>
  <c r="BX896" i="64"/>
  <c r="BK905" i="64"/>
  <c r="BJ907" i="64"/>
  <c r="BK907" i="64" s="1"/>
  <c r="K827" i="64"/>
  <c r="J829" i="64"/>
  <c r="AW597" i="64"/>
  <c r="AW599" i="64" s="1"/>
  <c r="AX593" i="64"/>
  <c r="AW469" i="64"/>
  <c r="AW471" i="64" s="1"/>
  <c r="AX467" i="64"/>
  <c r="U445" i="64"/>
  <c r="BK517" i="64"/>
  <c r="BJ519" i="64"/>
  <c r="BK519" i="64" s="1"/>
  <c r="AW213" i="64"/>
  <c r="AW215" i="64" s="1"/>
  <c r="AX211" i="64"/>
  <c r="AX213" i="64" s="1"/>
  <c r="AW113" i="64"/>
  <c r="AX105" i="64"/>
  <c r="BX497" i="64"/>
  <c r="X359" i="64"/>
  <c r="AK71" i="64"/>
  <c r="AJ76" i="64"/>
  <c r="AW85" i="64"/>
  <c r="AX85" i="64" s="1"/>
  <c r="AX80" i="64"/>
  <c r="H866" i="64"/>
  <c r="BK922" i="64"/>
  <c r="BK911" i="64"/>
  <c r="AW863" i="64"/>
  <c r="AW865" i="64" s="1"/>
  <c r="AW866" i="64" s="1"/>
  <c r="AX843" i="64"/>
  <c r="K905" i="64"/>
  <c r="AJ746" i="64"/>
  <c r="AK746" i="64" s="1"/>
  <c r="AK744" i="64"/>
  <c r="J432" i="64"/>
  <c r="J445" i="64" s="1"/>
  <c r="K425" i="64"/>
  <c r="BK359" i="64"/>
  <c r="BJ375" i="64"/>
  <c r="BH354" i="64"/>
  <c r="BU354" i="64"/>
  <c r="K258" i="64"/>
  <c r="J269" i="64"/>
  <c r="K269" i="64" s="1"/>
  <c r="U795" i="64"/>
  <c r="U838" i="64" s="1"/>
  <c r="AX723" i="64"/>
  <c r="AX732" i="64"/>
  <c r="AU746" i="64"/>
  <c r="AX676" i="64"/>
  <c r="AU678" i="64"/>
  <c r="AX678" i="64" s="1"/>
  <c r="AX767" i="64"/>
  <c r="W636" i="64"/>
  <c r="W669" i="64" s="1"/>
  <c r="X624" i="64"/>
  <c r="J710" i="64"/>
  <c r="AX517" i="64"/>
  <c r="AW519" i="64"/>
  <c r="J506" i="64"/>
  <c r="K497" i="64"/>
  <c r="AW487" i="64"/>
  <c r="AX487" i="64" s="1"/>
  <c r="AJ432" i="64"/>
  <c r="AX449" i="64"/>
  <c r="AX451" i="64" s="1"/>
  <c r="AU451" i="64"/>
  <c r="BU582" i="64"/>
  <c r="AK501" i="64"/>
  <c r="AJ506" i="64"/>
  <c r="BJ432" i="64"/>
  <c r="BJ445" i="64" s="1"/>
  <c r="BK425" i="64"/>
  <c r="AU432" i="64"/>
  <c r="AW328" i="64"/>
  <c r="AW352" i="64" s="1"/>
  <c r="H354" i="64"/>
  <c r="BU508" i="64"/>
  <c r="AU352" i="64"/>
  <c r="BW279" i="64"/>
  <c r="H253" i="64"/>
  <c r="BK120" i="64"/>
  <c r="BJ127" i="64"/>
  <c r="X65" i="64"/>
  <c r="W67" i="64"/>
  <c r="X67" i="64" s="1"/>
  <c r="K62" i="64"/>
  <c r="J67" i="64"/>
  <c r="K67" i="64" s="1"/>
  <c r="BH87" i="64"/>
  <c r="U144" i="64"/>
  <c r="AX74" i="64"/>
  <c r="X50" i="64"/>
  <c r="K449" i="64"/>
  <c r="K451" i="64" s="1"/>
  <c r="J451" i="64"/>
  <c r="BU87" i="64"/>
  <c r="AK176" i="64"/>
  <c r="K92" i="64"/>
  <c r="J98" i="64"/>
  <c r="J115" i="64" s="1"/>
  <c r="BJ18" i="64"/>
  <c r="BJ29" i="64" s="1"/>
  <c r="BJ41" i="64" s="1"/>
  <c r="X289" i="64"/>
  <c r="AU29" i="64"/>
  <c r="X176" i="64"/>
  <c r="AK120" i="64"/>
  <c r="AJ127" i="64"/>
  <c r="BJ76" i="64"/>
  <c r="BJ87" i="64" s="1"/>
  <c r="BK71" i="64"/>
  <c r="AX56" i="64"/>
  <c r="AK352" i="64"/>
  <c r="J76" i="64"/>
  <c r="K71" i="64"/>
  <c r="AK182" i="64"/>
  <c r="AJ184" i="64"/>
  <c r="AK184" i="64" s="1"/>
  <c r="AX48" i="64"/>
  <c r="BX92" i="64"/>
  <c r="W279" i="64"/>
  <c r="AX190" i="64"/>
  <c r="AX55" i="64"/>
  <c r="AU176" i="64"/>
  <c r="AW147" i="64"/>
  <c r="AW176" i="64" s="1"/>
  <c r="AW178" i="64" s="1"/>
  <c r="U354" i="64"/>
  <c r="AX90" i="64"/>
  <c r="AU279" i="64"/>
  <c r="AU52" i="64"/>
  <c r="AW793" i="64"/>
  <c r="BK744" i="64"/>
  <c r="AW667" i="64"/>
  <c r="AX667" i="64" s="1"/>
  <c r="AX639" i="64"/>
  <c r="H710" i="64"/>
  <c r="H754" i="64" s="1"/>
  <c r="K693" i="64"/>
  <c r="AJ612" i="64"/>
  <c r="AK612" i="64" s="1"/>
  <c r="AK610" i="64"/>
  <c r="W519" i="64"/>
  <c r="X519" i="64" s="1"/>
  <c r="X514" i="64"/>
  <c r="U582" i="64"/>
  <c r="AW267" i="64"/>
  <c r="AX267" i="64" s="1"/>
  <c r="AU481" i="64"/>
  <c r="AH491" i="64"/>
  <c r="AJ269" i="64"/>
  <c r="AK269" i="64" s="1"/>
  <c r="AK258" i="64"/>
  <c r="AW311" i="64"/>
  <c r="AW313" i="64" s="1"/>
  <c r="H416" i="64"/>
  <c r="K294" i="64"/>
  <c r="J311" i="64"/>
  <c r="U416" i="64"/>
  <c r="AU269" i="64"/>
  <c r="AX58" i="64"/>
  <c r="AX6" i="64"/>
  <c r="AW7" i="64"/>
  <c r="BH29" i="64"/>
  <c r="AX71" i="64"/>
  <c r="AU76" i="64"/>
  <c r="BX7" i="64"/>
  <c r="BW9" i="64"/>
  <c r="BX9" i="64" s="1"/>
  <c r="K18" i="64"/>
  <c r="J29" i="64"/>
  <c r="BX120" i="64"/>
  <c r="AU98" i="64"/>
  <c r="AX92" i="64"/>
  <c r="BH115" i="64"/>
  <c r="AW232" i="64"/>
  <c r="AX232" i="64" s="1"/>
  <c r="K7" i="64"/>
  <c r="AX12" i="64"/>
  <c r="AU752" i="64"/>
  <c r="AW744" i="64"/>
  <c r="AW746" i="64" s="1"/>
  <c r="AX737" i="64"/>
  <c r="U721" i="64"/>
  <c r="X719" i="64"/>
  <c r="J721" i="64"/>
  <c r="J636" i="64"/>
  <c r="J669" i="64" s="1"/>
  <c r="BH678" i="64"/>
  <c r="BK678" i="64" s="1"/>
  <c r="BK676" i="64"/>
  <c r="K624" i="64"/>
  <c r="W536" i="64"/>
  <c r="W582" i="64" s="1"/>
  <c r="AU519" i="64"/>
  <c r="AX514" i="64"/>
  <c r="AX497" i="64"/>
  <c r="AU506" i="64"/>
  <c r="X443" i="64"/>
  <c r="BH445" i="64"/>
  <c r="H445" i="64"/>
  <c r="P491" i="64"/>
  <c r="AW425" i="64"/>
  <c r="BK301" i="64"/>
  <c r="BJ311" i="64"/>
  <c r="BJ313" i="64" s="1"/>
  <c r="BK313" i="64" s="1"/>
  <c r="U253" i="64"/>
  <c r="AJ251" i="64"/>
  <c r="AK245" i="64"/>
  <c r="BH234" i="64"/>
  <c r="BK215" i="64"/>
  <c r="BJ506" i="64"/>
  <c r="BJ508" i="64" s="1"/>
  <c r="BJ932" i="64" s="1"/>
  <c r="BX79" i="64"/>
  <c r="BK212" i="64"/>
  <c r="BK213" i="64" s="1"/>
  <c r="AX70" i="64"/>
  <c r="X120" i="64"/>
  <c r="AX73" i="64"/>
  <c r="X52" i="64"/>
  <c r="BU144" i="64"/>
  <c r="J52" i="64"/>
  <c r="K52" i="64" s="1"/>
  <c r="K50" i="64"/>
  <c r="AK279" i="64"/>
  <c r="BW313" i="64"/>
  <c r="BX313" i="64" s="1"/>
  <c r="AX272" i="64"/>
  <c r="X178" i="64"/>
  <c r="H115" i="64"/>
  <c r="X292" i="64"/>
  <c r="AX217" i="64"/>
  <c r="BX65" i="64"/>
  <c r="BW67" i="64"/>
  <c r="BX67" i="64" s="1"/>
  <c r="N317" i="3" l="1"/>
  <c r="BA491" i="64"/>
  <c r="U53" i="4"/>
  <c r="F9" i="61"/>
  <c r="F11" i="61"/>
  <c r="F10" i="61"/>
  <c r="N279" i="3"/>
  <c r="N325" i="3"/>
  <c r="T53" i="4"/>
  <c r="T58" i="4" s="1"/>
  <c r="N52" i="3"/>
  <c r="L290" i="3"/>
  <c r="L317" i="3" s="1"/>
  <c r="N248" i="3"/>
  <c r="N189" i="3"/>
  <c r="N150" i="3"/>
  <c r="N368" i="3"/>
  <c r="L131" i="3"/>
  <c r="N115" i="3"/>
  <c r="L126" i="3"/>
  <c r="N354" i="3"/>
  <c r="S21" i="4"/>
  <c r="W898" i="64"/>
  <c r="W924" i="64" s="1"/>
  <c r="AW721" i="64"/>
  <c r="AW734" i="64" s="1"/>
  <c r="BE491" i="64"/>
  <c r="BE281" i="64"/>
  <c r="AX910" i="64"/>
  <c r="X251" i="64"/>
  <c r="BR491" i="64"/>
  <c r="BR926" i="64" s="1"/>
  <c r="AX911" i="64"/>
  <c r="X253" i="64"/>
  <c r="X127" i="64"/>
  <c r="BJ754" i="64"/>
  <c r="X771" i="64"/>
  <c r="AW115" i="64"/>
  <c r="AX793" i="64"/>
  <c r="BX721" i="64"/>
  <c r="BX734" i="64"/>
  <c r="BK432" i="64"/>
  <c r="AR491" i="64"/>
  <c r="AR926" i="64" s="1"/>
  <c r="AR931" i="64" s="1"/>
  <c r="AR933" i="64" s="1"/>
  <c r="Q14" i="4"/>
  <c r="Q17" i="4" s="1"/>
  <c r="Q53" i="4" s="1"/>
  <c r="Q58" i="4" s="1"/>
  <c r="S26" i="4"/>
  <c r="S29" i="4" s="1"/>
  <c r="I926" i="64"/>
  <c r="AK98" i="64"/>
  <c r="AK215" i="64"/>
  <c r="K53" i="4"/>
  <c r="K58" i="4" s="1"/>
  <c r="AX52" i="64"/>
  <c r="L115" i="3"/>
  <c r="M34" i="3"/>
  <c r="O53" i="4"/>
  <c r="O58" i="4" s="1"/>
  <c r="BX487" i="64"/>
  <c r="M173" i="3"/>
  <c r="BX793" i="64"/>
  <c r="M288" i="3"/>
  <c r="BX771" i="64"/>
  <c r="BH754" i="64"/>
  <c r="BJ115" i="64"/>
  <c r="BK115" i="64" s="1"/>
  <c r="M57" i="3"/>
  <c r="M122" i="3"/>
  <c r="M303" i="3"/>
  <c r="BW87" i="64"/>
  <c r="BX87" i="64" s="1"/>
  <c r="BF926" i="64"/>
  <c r="BF931" i="64" s="1"/>
  <c r="BF935" i="64" s="1"/>
  <c r="BF938" i="64" s="1"/>
  <c r="S15" i="4"/>
  <c r="M53" i="4"/>
  <c r="M58" i="4" s="1"/>
  <c r="N926" i="64"/>
  <c r="K865" i="64"/>
  <c r="K432" i="64"/>
  <c r="K536" i="64"/>
  <c r="M108" i="3"/>
  <c r="M310" i="3"/>
  <c r="AX198" i="64"/>
  <c r="M154" i="3"/>
  <c r="M171" i="3"/>
  <c r="M166" i="3"/>
  <c r="AW200" i="64"/>
  <c r="AX200" i="64" s="1"/>
  <c r="BJ253" i="64"/>
  <c r="BK253" i="64" s="1"/>
  <c r="BK710" i="64"/>
  <c r="K752" i="64"/>
  <c r="M48" i="3"/>
  <c r="M195" i="3"/>
  <c r="M222" i="3"/>
  <c r="M277" i="3"/>
  <c r="M246" i="3"/>
  <c r="AW669" i="64"/>
  <c r="S35" i="4"/>
  <c r="M187" i="3"/>
  <c r="M24" i="3"/>
  <c r="M79" i="3"/>
  <c r="M347" i="3"/>
  <c r="BX907" i="64"/>
  <c r="M298" i="3"/>
  <c r="M352" i="3"/>
  <c r="M337" i="3"/>
  <c r="BX887" i="64"/>
  <c r="M324" i="3"/>
  <c r="M263" i="3"/>
  <c r="BX708" i="64"/>
  <c r="M256" i="3"/>
  <c r="M254" i="3"/>
  <c r="M237" i="3"/>
  <c r="M204" i="3"/>
  <c r="BX536" i="64"/>
  <c r="S20" i="4"/>
  <c r="M140" i="3"/>
  <c r="M98" i="3"/>
  <c r="M39" i="3"/>
  <c r="BW41" i="64"/>
  <c r="BX41" i="64" s="1"/>
  <c r="S8" i="4"/>
  <c r="M131" i="3"/>
  <c r="M88" i="3"/>
  <c r="BV926" i="64"/>
  <c r="BX667" i="64"/>
  <c r="BW669" i="64"/>
  <c r="BX669" i="64" s="1"/>
  <c r="M272" i="3"/>
  <c r="BX113" i="64"/>
  <c r="S9" i="4"/>
  <c r="M50" i="3"/>
  <c r="M15" i="3"/>
  <c r="O356" i="3"/>
  <c r="K356" i="3"/>
  <c r="I356" i="3"/>
  <c r="J356" i="3"/>
  <c r="AX50" i="64"/>
  <c r="X432" i="64"/>
  <c r="AX414" i="64"/>
  <c r="AW924" i="64"/>
  <c r="BW144" i="64"/>
  <c r="BX144" i="64" s="1"/>
  <c r="AN926" i="64"/>
  <c r="AS926" i="64"/>
  <c r="BW710" i="64"/>
  <c r="BW754" i="64" s="1"/>
  <c r="X115" i="64"/>
  <c r="BN926" i="64"/>
  <c r="BN935" i="64" s="1"/>
  <c r="BN939" i="64" s="1"/>
  <c r="CE926" i="64"/>
  <c r="AE926" i="64"/>
  <c r="AE935" i="64" s="1"/>
  <c r="AE939" i="64" s="1"/>
  <c r="AA926" i="64"/>
  <c r="R926" i="64"/>
  <c r="R935" i="64" s="1"/>
  <c r="R939" i="64" s="1"/>
  <c r="AF926" i="64"/>
  <c r="M926" i="64"/>
  <c r="AX634" i="64"/>
  <c r="AM926" i="64"/>
  <c r="BW234" i="64"/>
  <c r="BX234" i="64" s="1"/>
  <c r="BW924" i="64"/>
  <c r="BX924" i="64" s="1"/>
  <c r="BM926" i="64"/>
  <c r="AW432" i="64"/>
  <c r="AW445" i="64" s="1"/>
  <c r="AJ924" i="64"/>
  <c r="AX636" i="64"/>
  <c r="AZ926" i="64"/>
  <c r="V926" i="64"/>
  <c r="BX898" i="64"/>
  <c r="BW253" i="64"/>
  <c r="BX253" i="64" s="1"/>
  <c r="AI926" i="64"/>
  <c r="W375" i="64"/>
  <c r="W416" i="64" s="1"/>
  <c r="X416" i="64" s="1"/>
  <c r="BW115" i="64"/>
  <c r="BX115" i="64" s="1"/>
  <c r="AX67" i="64"/>
  <c r="BJ924" i="64"/>
  <c r="X311" i="64"/>
  <c r="BI926" i="64"/>
  <c r="K375" i="64"/>
  <c r="K251" i="64"/>
  <c r="BK487" i="64"/>
  <c r="BK18" i="64"/>
  <c r="K416" i="64"/>
  <c r="AX475" i="64"/>
  <c r="AW795" i="64"/>
  <c r="AW838" i="64" s="1"/>
  <c r="K253" i="64"/>
  <c r="X98" i="64"/>
  <c r="AX764" i="64"/>
  <c r="AX827" i="64"/>
  <c r="BA926" i="64"/>
  <c r="BA935" i="64" s="1"/>
  <c r="BA939" i="64" s="1"/>
  <c r="X506" i="64"/>
  <c r="AV926" i="64"/>
  <c r="S926" i="64"/>
  <c r="S931" i="64" s="1"/>
  <c r="K127" i="64"/>
  <c r="J144" i="64"/>
  <c r="K144" i="64" s="1"/>
  <c r="BK445" i="64"/>
  <c r="X795" i="64"/>
  <c r="BU491" i="64"/>
  <c r="AX719" i="64"/>
  <c r="AW536" i="64"/>
  <c r="AW582" i="64" s="1"/>
  <c r="BZ926" i="64"/>
  <c r="Z926" i="64"/>
  <c r="AK29" i="64"/>
  <c r="AJ41" i="64"/>
  <c r="AK41" i="64" s="1"/>
  <c r="AX617" i="64"/>
  <c r="AX328" i="64"/>
  <c r="CA926" i="64"/>
  <c r="O375" i="3" s="1"/>
  <c r="AK636" i="64"/>
  <c r="AW87" i="64"/>
  <c r="X354" i="64"/>
  <c r="AX113" i="64"/>
  <c r="BW489" i="64"/>
  <c r="BX489" i="64" s="1"/>
  <c r="AW29" i="64"/>
  <c r="AW41" i="64" s="1"/>
  <c r="AX471" i="64"/>
  <c r="AX469" i="64"/>
  <c r="AX901" i="64"/>
  <c r="BK113" i="64"/>
  <c r="BW508" i="64"/>
  <c r="K710" i="64"/>
  <c r="BJ416" i="64"/>
  <c r="BK176" i="64"/>
  <c r="AX896" i="64"/>
  <c r="AJ710" i="64"/>
  <c r="AK710" i="64" s="1"/>
  <c r="AK693" i="64"/>
  <c r="BW582" i="64"/>
  <c r="K445" i="64"/>
  <c r="H281" i="64"/>
  <c r="AX62" i="64"/>
  <c r="AW127" i="64"/>
  <c r="AX127" i="64" s="1"/>
  <c r="AX120" i="64"/>
  <c r="AW354" i="64"/>
  <c r="BX636" i="64"/>
  <c r="BW354" i="64"/>
  <c r="BX354" i="64" s="1"/>
  <c r="X582" i="64"/>
  <c r="X313" i="64"/>
  <c r="AX597" i="64"/>
  <c r="AW234" i="64"/>
  <c r="AX234" i="64" s="1"/>
  <c r="W838" i="64"/>
  <c r="X838" i="64" s="1"/>
  <c r="BX373" i="64"/>
  <c r="BW375" i="64"/>
  <c r="S14" i="4" s="1"/>
  <c r="BX269" i="64"/>
  <c r="BJ354" i="64"/>
  <c r="BK354" i="64" s="1"/>
  <c r="J680" i="64"/>
  <c r="AX599" i="64"/>
  <c r="AW269" i="64"/>
  <c r="AX269" i="64" s="1"/>
  <c r="BK87" i="64"/>
  <c r="BK234" i="64"/>
  <c r="AK669" i="64"/>
  <c r="AX752" i="64"/>
  <c r="AK506" i="64"/>
  <c r="AJ508" i="64"/>
  <c r="AK508" i="64" s="1"/>
  <c r="AK432" i="64"/>
  <c r="AJ445" i="64"/>
  <c r="AK445" i="64" s="1"/>
  <c r="K636" i="64"/>
  <c r="J795" i="64"/>
  <c r="K795" i="64" s="1"/>
  <c r="K771" i="64"/>
  <c r="AK771" i="64"/>
  <c r="AJ795" i="64"/>
  <c r="AK795" i="64" s="1"/>
  <c r="K98" i="64"/>
  <c r="AX311" i="64"/>
  <c r="AX519" i="64"/>
  <c r="AX750" i="64"/>
  <c r="AW9" i="64"/>
  <c r="AX9" i="64" s="1"/>
  <c r="AX7" i="64"/>
  <c r="J313" i="64"/>
  <c r="K311" i="64"/>
  <c r="K115" i="64"/>
  <c r="BH680" i="64"/>
  <c r="U734" i="64"/>
  <c r="U754" i="64" s="1"/>
  <c r="X721" i="64"/>
  <c r="AU115" i="64"/>
  <c r="AX115" i="64" s="1"/>
  <c r="AX98" i="64"/>
  <c r="AU87" i="64"/>
  <c r="AX76" i="64"/>
  <c r="BK311" i="64"/>
  <c r="X536" i="64"/>
  <c r="X279" i="64"/>
  <c r="X144" i="64"/>
  <c r="BU932" i="64"/>
  <c r="AX425" i="64"/>
  <c r="AX746" i="64"/>
  <c r="K924" i="64"/>
  <c r="BK375" i="64"/>
  <c r="BH416" i="64"/>
  <c r="AW489" i="64"/>
  <c r="X746" i="64"/>
  <c r="AX364" i="64"/>
  <c r="AU582" i="64"/>
  <c r="AU680" i="64" s="1"/>
  <c r="BK636" i="64"/>
  <c r="AU734" i="64"/>
  <c r="AX734" i="64" s="1"/>
  <c r="AX721" i="64"/>
  <c r="H491" i="64"/>
  <c r="BK793" i="64"/>
  <c r="BJ795" i="64"/>
  <c r="BJ838" i="64" s="1"/>
  <c r="U680" i="64"/>
  <c r="AJ87" i="64"/>
  <c r="AK87" i="64" s="1"/>
  <c r="AK76" i="64"/>
  <c r="K829" i="64"/>
  <c r="AK489" i="64"/>
  <c r="AX913" i="64"/>
  <c r="BW445" i="64"/>
  <c r="BX432" i="64"/>
  <c r="AX373" i="64"/>
  <c r="AU375" i="64"/>
  <c r="AW375" i="64"/>
  <c r="AW416" i="64" s="1"/>
  <c r="AX359" i="64"/>
  <c r="AJ866" i="64"/>
  <c r="AK866" i="64" s="1"/>
  <c r="AK865" i="64"/>
  <c r="AM867" i="64" s="1"/>
  <c r="W234" i="64"/>
  <c r="X234" i="64" s="1"/>
  <c r="X215" i="64"/>
  <c r="AJ416" i="64"/>
  <c r="AK416" i="64" s="1"/>
  <c r="AK375" i="64"/>
  <c r="AJ582" i="64"/>
  <c r="AK582" i="64" s="1"/>
  <c r="AK536" i="64"/>
  <c r="BK721" i="64"/>
  <c r="AX279" i="64"/>
  <c r="X445" i="64"/>
  <c r="AU354" i="64"/>
  <c r="AX313" i="64"/>
  <c r="AK913" i="64"/>
  <c r="BK506" i="64"/>
  <c r="BK734" i="64"/>
  <c r="J508" i="64"/>
  <c r="K508" i="64" s="1"/>
  <c r="K506" i="64"/>
  <c r="AU178" i="64"/>
  <c r="AX178" i="64" s="1"/>
  <c r="AX176" i="64"/>
  <c r="AX504" i="64"/>
  <c r="AW867" i="64"/>
  <c r="AX865" i="64"/>
  <c r="AZ867" i="64" s="1"/>
  <c r="AU866" i="64"/>
  <c r="AX866" i="64" s="1"/>
  <c r="BH932" i="64"/>
  <c r="BK508" i="64"/>
  <c r="BW795" i="64"/>
  <c r="AX215" i="64"/>
  <c r="BU710" i="64"/>
  <c r="BU754" i="64" s="1"/>
  <c r="BX693" i="64"/>
  <c r="W710" i="64"/>
  <c r="X710" i="64" s="1"/>
  <c r="X693" i="64"/>
  <c r="BJ866" i="64"/>
  <c r="BK866" i="64" s="1"/>
  <c r="BK865" i="64"/>
  <c r="J489" i="64"/>
  <c r="K481" i="64"/>
  <c r="AJ253" i="64"/>
  <c r="AK253" i="64" s="1"/>
  <c r="AK251" i="64"/>
  <c r="AU508" i="64"/>
  <c r="AX506" i="64"/>
  <c r="U281" i="64"/>
  <c r="AX147" i="64"/>
  <c r="AU41" i="64"/>
  <c r="BX279" i="64"/>
  <c r="AX352" i="64"/>
  <c r="J41" i="64"/>
  <c r="K41" i="64" s="1"/>
  <c r="K29" i="64"/>
  <c r="AH926" i="64"/>
  <c r="AU489" i="64"/>
  <c r="AX481" i="64"/>
  <c r="J87" i="64"/>
  <c r="K87" i="64" s="1"/>
  <c r="K76" i="64"/>
  <c r="BJ144" i="64"/>
  <c r="BK144" i="64" s="1"/>
  <c r="BK127" i="64"/>
  <c r="X636" i="64"/>
  <c r="BU281" i="64"/>
  <c r="J734" i="64"/>
  <c r="K734" i="64" s="1"/>
  <c r="K721" i="64"/>
  <c r="BH41" i="64"/>
  <c r="BK41" i="64" s="1"/>
  <c r="BK29" i="64"/>
  <c r="AJ144" i="64"/>
  <c r="AK144" i="64" s="1"/>
  <c r="AK127" i="64"/>
  <c r="BK76" i="64"/>
  <c r="AX863" i="64"/>
  <c r="BK536" i="64"/>
  <c r="U491" i="64"/>
  <c r="BU680" i="64"/>
  <c r="BU838" i="64"/>
  <c r="AJ354" i="64"/>
  <c r="AK354" i="64" s="1"/>
  <c r="AU445" i="64"/>
  <c r="K669" i="64"/>
  <c r="H680" i="64"/>
  <c r="AX744" i="64"/>
  <c r="K866" i="64"/>
  <c r="K746" i="64"/>
  <c r="W41" i="64"/>
  <c r="X41" i="64" s="1"/>
  <c r="X29" i="64"/>
  <c r="BK582" i="64"/>
  <c r="AU710" i="64"/>
  <c r="AX693" i="64"/>
  <c r="AK829" i="64"/>
  <c r="AU253" i="64"/>
  <c r="AX253" i="64" s="1"/>
  <c r="AX251" i="64"/>
  <c r="BH838" i="64"/>
  <c r="W489" i="64"/>
  <c r="X481" i="64"/>
  <c r="AX771" i="64"/>
  <c r="AU795" i="64"/>
  <c r="AU907" i="64"/>
  <c r="AX907" i="64" s="1"/>
  <c r="AX905" i="64"/>
  <c r="AW710" i="64"/>
  <c r="AW754" i="64" s="1"/>
  <c r="AX708" i="64"/>
  <c r="CE931" i="64" l="1"/>
  <c r="X898" i="64"/>
  <c r="G8" i="61"/>
  <c r="N375" i="3"/>
  <c r="N177" i="3"/>
  <c r="L135" i="3"/>
  <c r="BE926" i="64"/>
  <c r="BE931" i="64" s="1"/>
  <c r="BE933" i="64" s="1"/>
  <c r="AX432" i="64"/>
  <c r="J754" i="64"/>
  <c r="K754" i="64" s="1"/>
  <c r="M210" i="3"/>
  <c r="M290" i="3"/>
  <c r="S17" i="4"/>
  <c r="M175" i="3"/>
  <c r="M61" i="3"/>
  <c r="K375" i="3"/>
  <c r="AJ754" i="64"/>
  <c r="AK754" i="64" s="1"/>
  <c r="M158" i="3"/>
  <c r="M199" i="3"/>
  <c r="AU754" i="64"/>
  <c r="AX754" i="64" s="1"/>
  <c r="M126" i="3"/>
  <c r="W754" i="64"/>
  <c r="S56" i="4"/>
  <c r="U58" i="4"/>
  <c r="M189" i="3"/>
  <c r="BW680" i="64"/>
  <c r="BX680" i="64" s="1"/>
  <c r="CA931" i="64"/>
  <c r="CA933" i="64" s="1"/>
  <c r="I8" i="61"/>
  <c r="S935" i="64"/>
  <c r="S938" i="64" s="1"/>
  <c r="H375" i="3"/>
  <c r="AS931" i="64"/>
  <c r="AS935" i="64" s="1"/>
  <c r="AS938" i="64" s="1"/>
  <c r="J375" i="3"/>
  <c r="AF931" i="64"/>
  <c r="AF935" i="64" s="1"/>
  <c r="AF938" i="64" s="1"/>
  <c r="I375" i="3"/>
  <c r="M354" i="3"/>
  <c r="M325" i="3"/>
  <c r="M267" i="3"/>
  <c r="M258" i="3"/>
  <c r="M241" i="3"/>
  <c r="S23" i="4"/>
  <c r="M144" i="3"/>
  <c r="M100" i="3"/>
  <c r="M43" i="3"/>
  <c r="S11" i="4"/>
  <c r="M135" i="3"/>
  <c r="BR931" i="64"/>
  <c r="BR933" i="64" s="1"/>
  <c r="L375" i="3"/>
  <c r="C8" i="61"/>
  <c r="M52" i="3"/>
  <c r="M19" i="3"/>
  <c r="CE935" i="64"/>
  <c r="AE931" i="64"/>
  <c r="AE933" i="64" s="1"/>
  <c r="AX29" i="64"/>
  <c r="BN931" i="64"/>
  <c r="BN933" i="64" s="1"/>
  <c r="BN927" i="64"/>
  <c r="BR935" i="64"/>
  <c r="BR939" i="64" s="1"/>
  <c r="R931" i="64"/>
  <c r="R933" i="64" s="1"/>
  <c r="BE935" i="64"/>
  <c r="BE939" i="64" s="1"/>
  <c r="BW281" i="64"/>
  <c r="BX281" i="64" s="1"/>
  <c r="BX508" i="64"/>
  <c r="BA931" i="64"/>
  <c r="BA933" i="64" s="1"/>
  <c r="X375" i="64"/>
  <c r="AU924" i="64"/>
  <c r="AW144" i="64"/>
  <c r="AX144" i="64" s="1"/>
  <c r="H926" i="64"/>
  <c r="AX536" i="64"/>
  <c r="AR935" i="64"/>
  <c r="AR939" i="64" s="1"/>
  <c r="CA935" i="64"/>
  <c r="CA939" i="64" s="1"/>
  <c r="BK754" i="64"/>
  <c r="K680" i="64"/>
  <c r="BJ491" i="64"/>
  <c r="AJ838" i="64"/>
  <c r="AK838" i="64" s="1"/>
  <c r="AU281" i="64"/>
  <c r="AX87" i="64"/>
  <c r="BK416" i="64"/>
  <c r="BX582" i="64"/>
  <c r="BH491" i="64"/>
  <c r="AX41" i="64"/>
  <c r="BW932" i="64"/>
  <c r="BX445" i="64"/>
  <c r="BW416" i="64"/>
  <c r="BX416" i="64" s="1"/>
  <c r="BX375" i="64"/>
  <c r="AW680" i="64"/>
  <c r="AX680" i="64" s="1"/>
  <c r="AJ491" i="64"/>
  <c r="AK491" i="64" s="1"/>
  <c r="AX354" i="64"/>
  <c r="BK838" i="64"/>
  <c r="AX445" i="64"/>
  <c r="J838" i="64"/>
  <c r="K838" i="64" s="1"/>
  <c r="AX885" i="64"/>
  <c r="BW838" i="64"/>
  <c r="W680" i="64"/>
  <c r="X680" i="64" s="1"/>
  <c r="X669" i="64"/>
  <c r="K489" i="64"/>
  <c r="BX710" i="64"/>
  <c r="BX754" i="64"/>
  <c r="BJ281" i="64"/>
  <c r="AX489" i="64"/>
  <c r="AU932" i="64"/>
  <c r="AX508" i="64"/>
  <c r="AX582" i="64"/>
  <c r="AU416" i="64"/>
  <c r="AX416" i="64" s="1"/>
  <c r="AX375" i="64"/>
  <c r="X734" i="64"/>
  <c r="J354" i="64"/>
  <c r="K354" i="64" s="1"/>
  <c r="K313" i="64"/>
  <c r="W491" i="64"/>
  <c r="X491" i="64" s="1"/>
  <c r="X489" i="64"/>
  <c r="AX669" i="64"/>
  <c r="X924" i="64"/>
  <c r="AJ680" i="64"/>
  <c r="AK680" i="64" s="1"/>
  <c r="AK924" i="64"/>
  <c r="AX795" i="64"/>
  <c r="AU838" i="64"/>
  <c r="AX838" i="64" s="1"/>
  <c r="BK795" i="64"/>
  <c r="AX710" i="64"/>
  <c r="J281" i="64"/>
  <c r="K281" i="64" s="1"/>
  <c r="BX795" i="64"/>
  <c r="BK924" i="64"/>
  <c r="BJ680" i="64"/>
  <c r="BK669" i="64"/>
  <c r="AW491" i="64"/>
  <c r="W281" i="64"/>
  <c r="X281" i="64" s="1"/>
  <c r="AJ281" i="64"/>
  <c r="AK281" i="64" s="1"/>
  <c r="BH281" i="64"/>
  <c r="CE939" i="64" l="1"/>
  <c r="CE933" i="64"/>
  <c r="G13" i="61"/>
  <c r="G22" i="61"/>
  <c r="G19" i="61"/>
  <c r="J8" i="61"/>
  <c r="I13" i="61"/>
  <c r="C13" i="61"/>
  <c r="H8" i="61"/>
  <c r="S53" i="4"/>
  <c r="S58" i="4" s="1"/>
  <c r="L177" i="3"/>
  <c r="L356" i="3" s="1"/>
  <c r="L370" i="3" s="1"/>
  <c r="L376" i="3" s="1"/>
  <c r="N356" i="3"/>
  <c r="M317" i="3"/>
  <c r="M279" i="3"/>
  <c r="M248" i="3"/>
  <c r="M177" i="3"/>
  <c r="M115" i="3"/>
  <c r="AW281" i="64"/>
  <c r="AX281" i="64" s="1"/>
  <c r="BK491" i="64"/>
  <c r="BJ926" i="64"/>
  <c r="BJ931" i="64" s="1"/>
  <c r="BJ933" i="64" s="1"/>
  <c r="BJ935" i="64" s="1"/>
  <c r="BK680" i="64"/>
  <c r="W926" i="64"/>
  <c r="BW491" i="64"/>
  <c r="BK281" i="64"/>
  <c r="BX838" i="64"/>
  <c r="J491" i="64"/>
  <c r="K491" i="64" s="1"/>
  <c r="AX924" i="64"/>
  <c r="AJ926" i="64"/>
  <c r="AK926" i="64" s="1"/>
  <c r="AU491" i="64"/>
  <c r="AX491" i="64" s="1"/>
  <c r="BU926" i="64"/>
  <c r="BH926" i="64"/>
  <c r="X754" i="64"/>
  <c r="U926" i="64"/>
  <c r="H13" i="61" l="1"/>
  <c r="J13" i="61"/>
  <c r="M356" i="3"/>
  <c r="AW926" i="64"/>
  <c r="AW931" i="64" s="1"/>
  <c r="AW933" i="64" s="1"/>
  <c r="AW935" i="64" s="1"/>
  <c r="X926" i="64"/>
  <c r="J926" i="64"/>
  <c r="BX491" i="64"/>
  <c r="BW926" i="64"/>
  <c r="M375" i="3" s="1"/>
  <c r="K926" i="64"/>
  <c r="BK926" i="64"/>
  <c r="BH931" i="64"/>
  <c r="BH933" i="64" s="1"/>
  <c r="BU931" i="64"/>
  <c r="BU933" i="64" s="1"/>
  <c r="AU926" i="64"/>
  <c r="BW931" i="64" l="1"/>
  <c r="BW933" i="64" s="1"/>
  <c r="BW935" i="64" s="1"/>
  <c r="E8" i="61"/>
  <c r="BX926" i="64"/>
  <c r="AU931" i="64"/>
  <c r="AU933" i="64" s="1"/>
  <c r="AX926" i="64"/>
  <c r="F8" i="61" l="1"/>
  <c r="E13" i="61"/>
  <c r="E19" i="61"/>
  <c r="E22" i="61"/>
  <c r="H294" i="3"/>
  <c r="F13" i="61" l="1"/>
  <c r="P40" i="53" l="1"/>
  <c r="P41" i="53" s="1"/>
  <c r="L62" i="53" l="1"/>
  <c r="K62" i="53"/>
  <c r="J62" i="53" l="1"/>
  <c r="L64" i="53" s="1"/>
  <c r="B9" i="63" l="1"/>
  <c r="I19" i="61" l="1"/>
  <c r="K370" i="3"/>
  <c r="K376" i="3" s="1"/>
  <c r="I22" i="61" l="1"/>
  <c r="C22" i="61" l="1"/>
  <c r="C19" i="61"/>
  <c r="H19" i="61" l="1"/>
  <c r="J19" i="61"/>
  <c r="F22" i="61"/>
  <c r="H22" i="61"/>
  <c r="J22" i="61"/>
  <c r="F19" i="61"/>
  <c r="U67" i="4" l="1"/>
  <c r="U65" i="4" l="1"/>
  <c r="U66" i="4"/>
  <c r="U72" i="4" l="1"/>
  <c r="U64" i="4"/>
  <c r="U63" i="4"/>
  <c r="U74" i="4" l="1"/>
  <c r="U78" i="4" s="1"/>
  <c r="U73" i="4"/>
  <c r="U68" i="4"/>
  <c r="U75" i="4" l="1"/>
  <c r="U77" i="4"/>
  <c r="U79" i="4" l="1"/>
  <c r="V78" i="4" s="1"/>
  <c r="V77" i="4" l="1"/>
  <c r="V79" i="4" s="1"/>
  <c r="A10" i="62" l="1"/>
  <c r="A7" i="62"/>
  <c r="A6" i="62"/>
  <c r="A5" i="62"/>
  <c r="G62" i="53" l="1"/>
  <c r="I64" i="53" l="1"/>
  <c r="I66" i="53" s="1"/>
  <c r="H365" i="3" l="1"/>
  <c r="T67" i="4"/>
  <c r="H286" i="3"/>
  <c r="H290" i="3" l="1"/>
  <c r="D51" i="4" l="1"/>
  <c r="E51" i="4"/>
  <c r="J51" i="4"/>
  <c r="I51" i="4"/>
  <c r="H51" i="4"/>
  <c r="G51" i="4"/>
  <c r="F51" i="4"/>
  <c r="J47" i="4"/>
  <c r="S67" i="4" l="1"/>
  <c r="I47" i="4" l="1"/>
  <c r="T65" i="4" l="1"/>
  <c r="T64" i="4"/>
  <c r="D7" i="63"/>
  <c r="T66" i="4" l="1"/>
  <c r="D5" i="63"/>
  <c r="D8" i="63"/>
  <c r="D6" i="63"/>
  <c r="S66" i="4"/>
  <c r="S64" i="4"/>
  <c r="O370" i="3"/>
  <c r="O376" i="3" s="1"/>
  <c r="T63" i="4" l="1"/>
  <c r="T68" i="4" s="1"/>
  <c r="D9" i="63"/>
  <c r="S63" i="4" l="1"/>
  <c r="M370" i="3" l="1"/>
  <c r="N370" i="3"/>
  <c r="N376" i="3" s="1"/>
  <c r="P370" i="3" l="1"/>
  <c r="M376" i="3"/>
  <c r="H246" i="3"/>
  <c r="H315" i="3" l="1"/>
  <c r="H195" i="3" l="1"/>
  <c r="H199" i="3" l="1"/>
  <c r="H367" i="3" l="1"/>
  <c r="H28" i="3"/>
  <c r="F22" i="4"/>
  <c r="H162" i="3"/>
  <c r="H154" i="3"/>
  <c r="H148" i="3"/>
  <c r="H22" i="4"/>
  <c r="S65" i="4" l="1"/>
  <c r="S68" i="4" s="1"/>
  <c r="G22" i="4"/>
  <c r="D39" i="4"/>
  <c r="D41" i="4" s="1"/>
  <c r="H39" i="4"/>
  <c r="H41" i="4" s="1"/>
  <c r="G27" i="4"/>
  <c r="E33" i="4"/>
  <c r="F33" i="4"/>
  <c r="G33" i="4"/>
  <c r="D33" i="4"/>
  <c r="H33" i="4"/>
  <c r="G32" i="4"/>
  <c r="D32" i="4"/>
  <c r="G56" i="4"/>
  <c r="D22" i="4"/>
  <c r="D21" i="4"/>
  <c r="H21" i="4"/>
  <c r="F39" i="4"/>
  <c r="F41" i="4" s="1"/>
  <c r="H56" i="4"/>
  <c r="E21" i="4"/>
  <c r="H27" i="4"/>
  <c r="G45" i="4"/>
  <c r="G47" i="4" s="1"/>
  <c r="F21" i="4"/>
  <c r="H150" i="3"/>
  <c r="H368" i="3"/>
  <c r="E20" i="4"/>
  <c r="F27" i="4"/>
  <c r="H32" i="4"/>
  <c r="G39" i="4"/>
  <c r="G41" i="4" s="1"/>
  <c r="D56" i="4"/>
  <c r="E56" i="4"/>
  <c r="F56" i="4"/>
  <c r="E22" i="4"/>
  <c r="H222" i="3"/>
  <c r="D27" i="4"/>
  <c r="E27" i="4"/>
  <c r="I41" i="4"/>
  <c r="E39" i="4"/>
  <c r="E41" i="4" s="1"/>
  <c r="D45" i="4"/>
  <c r="D47" i="4" s="1"/>
  <c r="H45" i="4"/>
  <c r="H47" i="4" s="1"/>
  <c r="F45" i="4"/>
  <c r="F47" i="4" s="1"/>
  <c r="H75" i="3"/>
  <c r="E45" i="4"/>
  <c r="E47" i="4" s="1"/>
  <c r="H10" i="3"/>
  <c r="H342" i="3"/>
  <c r="H324" i="3"/>
  <c r="H140" i="3"/>
  <c r="H347" i="3"/>
  <c r="H98" i="3"/>
  <c r="H204" i="3"/>
  <c r="H171" i="3"/>
  <c r="H237" i="3"/>
  <c r="H241" i="3" s="1"/>
  <c r="H227" i="3"/>
  <c r="H232" i="3"/>
  <c r="H166" i="3"/>
  <c r="H71" i="3"/>
  <c r="H113" i="3"/>
  <c r="H272" i="3"/>
  <c r="H158" i="3"/>
  <c r="H277" i="3"/>
  <c r="H254" i="3"/>
  <c r="G21" i="4" l="1"/>
  <c r="G15" i="4"/>
  <c r="E32" i="4"/>
  <c r="E35" i="4" s="1"/>
  <c r="D9" i="4"/>
  <c r="H9" i="4"/>
  <c r="G9" i="4"/>
  <c r="F9" i="4"/>
  <c r="F20" i="4"/>
  <c r="F23" i="4" s="1"/>
  <c r="G35" i="4"/>
  <c r="D35" i="4"/>
  <c r="E26" i="4"/>
  <c r="E29" i="4" s="1"/>
  <c r="F26" i="4"/>
  <c r="F29" i="4" s="1"/>
  <c r="H35" i="4"/>
  <c r="H258" i="3"/>
  <c r="H325" i="3"/>
  <c r="H332" i="3"/>
  <c r="H100" i="3"/>
  <c r="E23" i="4"/>
  <c r="H66" i="3"/>
  <c r="H14" i="4"/>
  <c r="H263" i="3"/>
  <c r="H310" i="3"/>
  <c r="H79" i="3"/>
  <c r="F32" i="4"/>
  <c r="F35" i="4" s="1"/>
  <c r="D14" i="4"/>
  <c r="H34" i="3"/>
  <c r="D26" i="4"/>
  <c r="D29" i="4" s="1"/>
  <c r="H217" i="3"/>
  <c r="H20" i="4"/>
  <c r="H23" i="4" s="1"/>
  <c r="H26" i="4"/>
  <c r="H29" i="4" s="1"/>
  <c r="F8" i="4"/>
  <c r="G26" i="4"/>
  <c r="G29" i="4" s="1"/>
  <c r="H131" i="3"/>
  <c r="H104" i="3"/>
  <c r="H175" i="3"/>
  <c r="D20" i="4"/>
  <c r="D23" i="4" s="1"/>
  <c r="H352" i="3"/>
  <c r="F14" i="4"/>
  <c r="H24" i="3"/>
  <c r="H144" i="3"/>
  <c r="H210" i="3"/>
  <c r="H187" i="3"/>
  <c r="H122" i="3"/>
  <c r="H15" i="3"/>
  <c r="H57" i="3"/>
  <c r="H8" i="4"/>
  <c r="D8" i="4"/>
  <c r="G8" i="4"/>
  <c r="G14" i="4"/>
  <c r="H93" i="3"/>
  <c r="E8" i="4"/>
  <c r="E14" i="4"/>
  <c r="H84" i="3"/>
  <c r="H298" i="3"/>
  <c r="H303" i="3"/>
  <c r="G20" i="4"/>
  <c r="H354" i="3" l="1"/>
  <c r="H317" i="3"/>
  <c r="B17" i="62"/>
  <c r="D7" i="62" s="1"/>
  <c r="G23" i="4"/>
  <c r="G17" i="4"/>
  <c r="F15" i="4"/>
  <c r="F17" i="4" s="1"/>
  <c r="E15" i="4"/>
  <c r="E17" i="4" s="1"/>
  <c r="D15" i="4"/>
  <c r="D17" i="4" s="1"/>
  <c r="H15" i="4"/>
  <c r="H17" i="4" s="1"/>
  <c r="F11" i="4"/>
  <c r="D11" i="4"/>
  <c r="G11" i="4"/>
  <c r="H11" i="4"/>
  <c r="E9" i="4"/>
  <c r="E11" i="4" s="1"/>
  <c r="I17" i="4"/>
  <c r="I35" i="4"/>
  <c r="I29" i="4"/>
  <c r="H248" i="3"/>
  <c r="H108" i="3"/>
  <c r="H267" i="3"/>
  <c r="H279" i="3" s="1"/>
  <c r="H189" i="3"/>
  <c r="I23" i="4"/>
  <c r="H126" i="3"/>
  <c r="H88" i="3"/>
  <c r="H135" i="3"/>
  <c r="I11" i="4"/>
  <c r="H61" i="3"/>
  <c r="H19" i="3"/>
  <c r="H39" i="3"/>
  <c r="H48" i="3"/>
  <c r="D11" i="62" l="1"/>
  <c r="D14" i="62"/>
  <c r="D5" i="62"/>
  <c r="D13" i="62"/>
  <c r="D8" i="62"/>
  <c r="D10" i="62"/>
  <c r="D9" i="62"/>
  <c r="D12" i="62"/>
  <c r="D6" i="62"/>
  <c r="D15" i="62"/>
  <c r="E53" i="4"/>
  <c r="E58" i="4" s="1"/>
  <c r="H53" i="4"/>
  <c r="H58" i="4" s="1"/>
  <c r="F53" i="4"/>
  <c r="F58" i="4" s="1"/>
  <c r="G53" i="4"/>
  <c r="G58" i="4" s="1"/>
  <c r="D53" i="4"/>
  <c r="D58" i="4" s="1"/>
  <c r="I53" i="4"/>
  <c r="I58" i="4" s="1"/>
  <c r="H43" i="3"/>
  <c r="H52" i="3"/>
  <c r="H177" i="3"/>
  <c r="D17" i="62" l="1"/>
  <c r="J370" i="3"/>
  <c r="J376" i="3" s="1"/>
  <c r="I370" i="3"/>
  <c r="I376" i="3" s="1"/>
  <c r="H115" i="3"/>
  <c r="H356" i="3" l="1"/>
  <c r="H370" i="3" l="1"/>
  <c r="H376"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cgabriel</author>
  </authors>
  <commentList>
    <comment ref="A1" authorId="0" shapeId="0" xr:uid="{8D0BDF3A-ACDF-40B1-B9C3-409AAA0A108C}">
      <text>
        <r>
          <rPr>
            <b/>
            <sz val="9"/>
            <color indexed="81"/>
            <rFont val="Tahoma"/>
            <family val="2"/>
          </rPr>
          <t>cgabriel:</t>
        </r>
        <r>
          <rPr>
            <sz val="9"/>
            <color indexed="81"/>
            <rFont val="Tahoma"/>
            <family val="2"/>
          </rPr>
          <t xml:space="preserve">
</t>
        </r>
        <r>
          <rPr>
            <i/>
            <sz val="12"/>
            <color indexed="81"/>
            <rFont val="Calibri"/>
            <family val="2"/>
            <scheme val="minor"/>
          </rPr>
          <t>Click on the Department you wish to review!</t>
        </r>
      </text>
    </comment>
  </commentList>
</comments>
</file>

<file path=xl/sharedStrings.xml><?xml version="1.0" encoding="utf-8"?>
<sst xmlns="http://schemas.openxmlformats.org/spreadsheetml/2006/main" count="3958" uniqueCount="1660">
  <si>
    <t>ACTUALS</t>
  </si>
  <si>
    <t>MODERATOR</t>
  </si>
  <si>
    <t xml:space="preserve">     </t>
  </si>
  <si>
    <t xml:space="preserve">POSTAGE                       </t>
  </si>
  <si>
    <t xml:space="preserve">ADVERTISING                   </t>
  </si>
  <si>
    <t xml:space="preserve">ACO EXPENSES                  </t>
  </si>
  <si>
    <t xml:space="preserve">SCH ASSESSMENT - MASCO        </t>
  </si>
  <si>
    <t xml:space="preserve">MASCO BLDG DEBT SERVICE       </t>
  </si>
  <si>
    <t>SCH ASSESSMENT - ESSEX NS TECH</t>
  </si>
  <si>
    <t>HWY LABOR</t>
  </si>
  <si>
    <t xml:space="preserve">SOLDIER/SAILOR GRAVES         </t>
  </si>
  <si>
    <t>WAGES</t>
  </si>
  <si>
    <t xml:space="preserve">CUSTODIAL WAGES               </t>
  </si>
  <si>
    <t xml:space="preserve">DEBT SERVICE INT TEMP LOANS   </t>
  </si>
  <si>
    <t xml:space="preserve">BAN PAY DOWN HWY SANDER       </t>
  </si>
  <si>
    <t xml:space="preserve">BAN PAY DOWN FIRE RESCUE      </t>
  </si>
  <si>
    <t xml:space="preserve">SEL WAGE TA EXEC SECRETARY       </t>
  </si>
  <si>
    <t xml:space="preserve">SEL CAR ALLOWANCE                 </t>
  </si>
  <si>
    <t xml:space="preserve">SEL POSTAGE                       </t>
  </si>
  <si>
    <t xml:space="preserve">SEL ADVERTISING                   </t>
  </si>
  <si>
    <t xml:space="preserve">SEL PUBLICATIONS                  </t>
  </si>
  <si>
    <t xml:space="preserve">CONTRACTED SRVS                                                             </t>
  </si>
  <si>
    <t xml:space="preserve">MISC EXPENSE EXPENSES        </t>
  </si>
  <si>
    <t>ACT SAL TOWN ACCOUNTANT</t>
  </si>
  <si>
    <t xml:space="preserve">ACT WAGE ASST TWN ACCT     </t>
  </si>
  <si>
    <t xml:space="preserve">ACT AUDIT SRVS                                                                  </t>
  </si>
  <si>
    <t xml:space="preserve">ACT POSTAGE                       </t>
  </si>
  <si>
    <t xml:space="preserve">ACT OFFICE SUPPLIES               </t>
  </si>
  <si>
    <t xml:space="preserve">ACT DUES, PUBL &amp; MMBRSHPS                          </t>
  </si>
  <si>
    <t>ASR SAL ASSESSORS</t>
  </si>
  <si>
    <t>ASR SAL PRINC. ASSESSOR</t>
  </si>
  <si>
    <t xml:space="preserve">ASR WAGE ASST ASSESSOR            </t>
  </si>
  <si>
    <t xml:space="preserve">SEL WAGE EXEC ASST           </t>
  </si>
  <si>
    <t xml:space="preserve">HWY ADMIN ASST           </t>
  </si>
  <si>
    <t xml:space="preserve">ASR OVERTIME - ASST ASR           </t>
  </si>
  <si>
    <t xml:space="preserve">ASR MAP UPDATING                  </t>
  </si>
  <si>
    <t xml:space="preserve">ASR POSTAGE                       </t>
  </si>
  <si>
    <t xml:space="preserve">ASR ADVERTISING                   </t>
  </si>
  <si>
    <t xml:space="preserve">ASR OFFICE SUPPLIES               </t>
  </si>
  <si>
    <t xml:space="preserve">ASR PUBLICATIONS                  </t>
  </si>
  <si>
    <t xml:space="preserve">ASR DUES, PUBL &amp; MMBRSHPS </t>
  </si>
  <si>
    <t>TRS SAL TRS/COLL</t>
  </si>
  <si>
    <t xml:space="preserve">TRS LONGEVITY                     </t>
  </si>
  <si>
    <t xml:space="preserve">TRS WAGE PAYROLL COORDINATOR           </t>
  </si>
  <si>
    <t xml:space="preserve">TRS WAGE ASST TRS/COL             </t>
  </si>
  <si>
    <t xml:space="preserve">TRS TAX TITLE LEGAL SRVS                                                        </t>
  </si>
  <si>
    <t xml:space="preserve">TRS POSTAGE                       </t>
  </si>
  <si>
    <t xml:space="preserve">TRS DEPUTY COLLECTOR FEES         </t>
  </si>
  <si>
    <t xml:space="preserve">TRS CONTRACTED SRVS                                                             </t>
  </si>
  <si>
    <t xml:space="preserve">TRS OFFICE SUPPLIES               </t>
  </si>
  <si>
    <t xml:space="preserve">TRS FORMS                         </t>
  </si>
  <si>
    <t>TRS DUES, PUBL &amp; MMBRSHPS</t>
  </si>
  <si>
    <t xml:space="preserve">TRS ABATEMENT INTEREST EXP        </t>
  </si>
  <si>
    <t xml:space="preserve">TRS BANK CHARGES                  </t>
  </si>
  <si>
    <t xml:space="preserve">POL ELECTRICITY                   </t>
  </si>
  <si>
    <t xml:space="preserve">POL WATER                         </t>
  </si>
  <si>
    <t>POL MAINT-BUILDING</t>
  </si>
  <si>
    <t xml:space="preserve">POL ACADEMY FEE                   </t>
  </si>
  <si>
    <t xml:space="preserve">POL PRINTING                      </t>
  </si>
  <si>
    <t xml:space="preserve">POL POSTAGE                       </t>
  </si>
  <si>
    <t xml:space="preserve">POL ADVERTISING                   </t>
  </si>
  <si>
    <t xml:space="preserve">POL OFFICE SUPPLIES               </t>
  </si>
  <si>
    <t xml:space="preserve">POL PHOTO SUPPLIES                </t>
  </si>
  <si>
    <t xml:space="preserve">POL CUSTODIAL SUPPLIES            </t>
  </si>
  <si>
    <t xml:space="preserve">POL TRAINING MATERIALS            </t>
  </si>
  <si>
    <t xml:space="preserve">POL TRAFFIC SIGNS                 </t>
  </si>
  <si>
    <t xml:space="preserve">POL SUBSCRIPTIONS                 </t>
  </si>
  <si>
    <t>POL DUES, PUBL &amp; MMBRSHPS</t>
  </si>
  <si>
    <t xml:space="preserve">POL OFC EQUIP &amp; FURNITURE         </t>
  </si>
  <si>
    <t xml:space="preserve">SEL TELE / COMMUNICATIONS                     </t>
  </si>
  <si>
    <t xml:space="preserve">POL TELE / COMMUNICATIONS/COMPUTER            </t>
  </si>
  <si>
    <t xml:space="preserve">FIR WAGE HOLIDAY FT OVERTIME           </t>
  </si>
  <si>
    <t xml:space="preserve">FIR WAGE LONGEVITY                     </t>
  </si>
  <si>
    <t xml:space="preserve">FIR WAGE TRAINING                      </t>
  </si>
  <si>
    <t xml:space="preserve">FIR ELECTRICITY                   </t>
  </si>
  <si>
    <t xml:space="preserve">FIR WATER                         </t>
  </si>
  <si>
    <t xml:space="preserve">FIR TELE / COMMUNICATIONS                     </t>
  </si>
  <si>
    <t xml:space="preserve">FIR POSTAGE                       </t>
  </si>
  <si>
    <t xml:space="preserve">FIR PRINTING                      </t>
  </si>
  <si>
    <t xml:space="preserve">FIR EXTINGUISHER RE-CHRG     </t>
  </si>
  <si>
    <t xml:space="preserve">FIR OXYGEN/AIR FILLS              </t>
  </si>
  <si>
    <t xml:space="preserve">FIR PUBLICATIONS                  </t>
  </si>
  <si>
    <t xml:space="preserve">FIR DUES, PUBL &amp; MMBRSHPS                          </t>
  </si>
  <si>
    <t xml:space="preserve">FIR MISCELLEANEOUS                </t>
  </si>
  <si>
    <t xml:space="preserve">FIR MEDICAL EQUIPMENT             </t>
  </si>
  <si>
    <t>POL MAINT-VEH</t>
  </si>
  <si>
    <t xml:space="preserve">POL VEH SUPPLIES              </t>
  </si>
  <si>
    <t xml:space="preserve">FIR MAINT-RADIO      </t>
  </si>
  <si>
    <t>FIR MAINT-ALARM</t>
  </si>
  <si>
    <t xml:space="preserve">FIR EQUIPMT RENTAL              </t>
  </si>
  <si>
    <t>FIR SUPPLIES-BLDG</t>
  </si>
  <si>
    <t>FIR SUPPLIES-EQUIP</t>
  </si>
  <si>
    <t>FIR SUPPLIES-COMPUTER</t>
  </si>
  <si>
    <t>FIR SAL FIRE CHIEF (APPOINTED)</t>
  </si>
  <si>
    <t>FIR WAGE F/T FIREFIGHTER</t>
  </si>
  <si>
    <t>FIR WAGE CLERICAL (P/T)</t>
  </si>
  <si>
    <t>FIR WAGE CALL FIREFIGHTERS</t>
  </si>
  <si>
    <t>FIR MAINT-BLDG</t>
  </si>
  <si>
    <t>FIR MAINT-VEH &amp; EQUIP</t>
  </si>
  <si>
    <t xml:space="preserve">SWM SEALER WEIGHTS/MEASURES       </t>
  </si>
  <si>
    <t xml:space="preserve">ACO SAL ANIMAL CNTL OFFICER        </t>
  </si>
  <si>
    <t xml:space="preserve">ANI CAR ALLOWANCE                 </t>
  </si>
  <si>
    <t xml:space="preserve">ANI RABID ANIMAL SERVICE          </t>
  </si>
  <si>
    <t>ANI SAL ANIMAL INSP</t>
  </si>
  <si>
    <t xml:space="preserve">ACT TRAVEL EXPENSES                       </t>
  </si>
  <si>
    <t xml:space="preserve">ASR TRAVEL EXPENSES                                                        &amp; MEETINGS             </t>
  </si>
  <si>
    <t xml:space="preserve">TRS TRAVEL EXPENSES                                                        &amp; MEETINGS             </t>
  </si>
  <si>
    <t xml:space="preserve">ANI TRAVEL EXPENSES                                                                               </t>
  </si>
  <si>
    <t xml:space="preserve">ASR MTG/CONF/LICENSES             </t>
  </si>
  <si>
    <t>POL MTG/CONF/LICENSES</t>
  </si>
  <si>
    <t>FIR MTG/CONF/LICENSES</t>
  </si>
  <si>
    <t xml:space="preserve">ACT MTG/CONF/LICENSES             </t>
  </si>
  <si>
    <t>FINANCE COMMITTEE EXPENSES:</t>
  </si>
  <si>
    <t xml:space="preserve">TOTAL FINANCE COMMITTEE:  </t>
  </si>
  <si>
    <t xml:space="preserve">MODERATOR SALARY &amp; WAGES:  </t>
  </si>
  <si>
    <t xml:space="preserve">TOTAL MODERATOR:  </t>
  </si>
  <si>
    <t xml:space="preserve">FINANCE COMMITTEE SALARY &amp; WAGES:  </t>
  </si>
  <si>
    <t xml:space="preserve">FINANCE COMMITTEE:  </t>
  </si>
  <si>
    <t>EXPENSE</t>
  </si>
  <si>
    <t>SALARY</t>
  </si>
  <si>
    <t>EXPENSES</t>
  </si>
  <si>
    <t>ZONING BOARD</t>
  </si>
  <si>
    <t>ZONING BOARD EXPENSES:</t>
  </si>
  <si>
    <t xml:space="preserve">TOTAL ZONING BOARD </t>
  </si>
  <si>
    <t>PLANNING BOARD</t>
  </si>
  <si>
    <t>PLANNING BOARD EXPENSES:</t>
  </si>
  <si>
    <t xml:space="preserve">TOTAL PLANNING BOARD:  </t>
  </si>
  <si>
    <t>CONSERVATION COMMISSION</t>
  </si>
  <si>
    <t xml:space="preserve">CONSERVATION COMMISSION SALARY &amp; WAGES:  </t>
  </si>
  <si>
    <t xml:space="preserve">TOTAL CONSERVATION COMMISSION:  </t>
  </si>
  <si>
    <t>TOWN CLERK EXPENSES:</t>
  </si>
  <si>
    <t xml:space="preserve">TOTAL TOWN CLERK:  </t>
  </si>
  <si>
    <t>TOWN CLERK SALARY &amp; WAGES:</t>
  </si>
  <si>
    <t xml:space="preserve">TOTAL ACCOUNTING DEPARTMENT:  </t>
  </si>
  <si>
    <t>ACCOUNTING DEPARTMENT</t>
  </si>
  <si>
    <t>ASSESSOR'S DEPARTMENT</t>
  </si>
  <si>
    <t>ASSESSOR SALARY &amp; WAGES:</t>
  </si>
  <si>
    <t>ACCOUNTING EXPENSES:</t>
  </si>
  <si>
    <t>ACCOUNTING SALARY &amp; WAGES:</t>
  </si>
  <si>
    <t>ASSESSOR EXPENSES:</t>
  </si>
  <si>
    <t xml:space="preserve">TOTAL ASSESSOR DEPARTMENT:  </t>
  </si>
  <si>
    <t>TREASURER / COLLECTOR DEPARTMENT</t>
  </si>
  <si>
    <t>TREASURER / COLLECTOR SALARY &amp; WAGES:</t>
  </si>
  <si>
    <t>TREASURER / COLLECTOR EXPENSES:</t>
  </si>
  <si>
    <t xml:space="preserve">TOTAL TREASURER / COLLECTOR:  </t>
  </si>
  <si>
    <t xml:space="preserve">TWN ELECTRICITY                   </t>
  </si>
  <si>
    <t xml:space="preserve">TWN GAS                           </t>
  </si>
  <si>
    <t xml:space="preserve">TWN WATER                         </t>
  </si>
  <si>
    <t xml:space="preserve">TWN MAINTENANCE COPIER            </t>
  </si>
  <si>
    <t xml:space="preserve">TWN SYSTEMS ADMIN CONSULTING      </t>
  </si>
  <si>
    <t xml:space="preserve">TWN POSTAGE METER                 </t>
  </si>
  <si>
    <t xml:space="preserve">TWN OFFICE SUPPLIES               </t>
  </si>
  <si>
    <t xml:space="preserve">TWN COPIER PAPER                  </t>
  </si>
  <si>
    <t xml:space="preserve">TWN POSTAGE METER SUPPLIES        </t>
  </si>
  <si>
    <t xml:space="preserve">TWN MAINT/ BUILDING               </t>
  </si>
  <si>
    <t xml:space="preserve">TWN COMPUTER SUPPLIES             </t>
  </si>
  <si>
    <t>TOWN CLERK DEPARTMENT</t>
  </si>
  <si>
    <t>PLANNING BOARD SALARY &amp; WAGES</t>
  </si>
  <si>
    <t>POLICE DEPARTMENT</t>
  </si>
  <si>
    <t>FIRE DEPARTMENT</t>
  </si>
  <si>
    <t>EDUCATION</t>
  </si>
  <si>
    <t>POLICE DEPARTMENT SALARY &amp; WAGES</t>
  </si>
  <si>
    <t>POLICE DEPARTMENT EXPENSES:</t>
  </si>
  <si>
    <t xml:space="preserve">TOTAL POLICE DEPARTMENT:  </t>
  </si>
  <si>
    <t>FIRE DEPARTMENT SALARY &amp; WAGES</t>
  </si>
  <si>
    <t>FIRE DEPARTMENT EXPENSES:</t>
  </si>
  <si>
    <t xml:space="preserve">TOTAL FIRE DEPARTMENT:  </t>
  </si>
  <si>
    <t>SEALER OF WEIGHTS &amp; MEASURES</t>
  </si>
  <si>
    <t>SEALER OF WEIGHTS &amp; MEASURERS SALARY &amp; WAGES:</t>
  </si>
  <si>
    <t xml:space="preserve">TOTAL SEALER OF WEIGHTS &amp; MEASURERS:  </t>
  </si>
  <si>
    <t>ANIMAL CONTROL OFFICER SALARY &amp; WAGES:</t>
  </si>
  <si>
    <t>ANIMAL CONTROL OFFICER</t>
  </si>
  <si>
    <t xml:space="preserve">TOTAL ANIMAL CONTROL OFFICER:  </t>
  </si>
  <si>
    <t>INSPECTIONS DEPARTMENT SALARY &amp; WAGES</t>
  </si>
  <si>
    <t>INSPECTIONS DEPARTMENT</t>
  </si>
  <si>
    <t>INSPECTIONS DEPARTMENT EXPENSES:</t>
  </si>
  <si>
    <t>ANIMAL INSPECTOR</t>
  </si>
  <si>
    <t>ANIMAL INSPECTOR SALARY &amp; WAGES:</t>
  </si>
  <si>
    <t>ANIMAL CONTROL OFFICER EXPENSE:</t>
  </si>
  <si>
    <t>ANIMAL INSPECTOR EXPENSE:</t>
  </si>
  <si>
    <t xml:space="preserve">TOTAL ANIMAL INSPECTOR:  </t>
  </si>
  <si>
    <t xml:space="preserve">TOTAL EDUCATION:  </t>
  </si>
  <si>
    <t>HIGHWAY DEPARTMENT</t>
  </si>
  <si>
    <t>HIGHWAY DEPARTMENT SALARY &amp; WAGES:</t>
  </si>
  <si>
    <t xml:space="preserve">TOTAL HIGHWAY DEPARTMENT:  </t>
  </si>
  <si>
    <t>SNOW &amp; ICE</t>
  </si>
  <si>
    <t>SNOW &amp; ICE SALARY &amp; WAGES:</t>
  </si>
  <si>
    <t>SNOW &amp; ICE EXPENSES:</t>
  </si>
  <si>
    <t xml:space="preserve">TOTAL SNOW &amp; ICE:  </t>
  </si>
  <si>
    <t>STREET LIGHTS</t>
  </si>
  <si>
    <t>STREET LIGHT EXPENSES:</t>
  </si>
  <si>
    <t xml:space="preserve">TOTAL STREET LIGHTS:  </t>
  </si>
  <si>
    <t>BOARD OF HEALTH</t>
  </si>
  <si>
    <t>BOARD OF HEALTH SALARY &amp; WAGES:</t>
  </si>
  <si>
    <t>BOARD OF HEALTH EXPENSES:</t>
  </si>
  <si>
    <t xml:space="preserve">TOTAL BOARD OF HEALTH:  </t>
  </si>
  <si>
    <t>REFUSE &amp; RECYCLING</t>
  </si>
  <si>
    <t>REFUSE &amp; RECYCLING EXPENSES:</t>
  </si>
  <si>
    <t xml:space="preserve">TOTAL REFUSE &amp; RECYCLING:  </t>
  </si>
  <si>
    <t>COUNCIL ON AGING</t>
  </si>
  <si>
    <t>COUNCIL ON AGING SALARY &amp; WAGES:</t>
  </si>
  <si>
    <t>COUNCIL ON AGING EXPENSES:</t>
  </si>
  <si>
    <t xml:space="preserve">TOTAL COUNCIL ON AGING:  </t>
  </si>
  <si>
    <t xml:space="preserve">COA  POSTAGE/MAILING                    </t>
  </si>
  <si>
    <t xml:space="preserve">COA  TRAVEL EXPENSES                                                        &amp; MEETINGS             </t>
  </si>
  <si>
    <t xml:space="preserve">COA  DUES, PUBL &amp; MMBRSHPS                          </t>
  </si>
  <si>
    <t>COA  SAL DIRECTOR (APPNT'D)</t>
  </si>
  <si>
    <t xml:space="preserve">VET  CONSULTANT                    </t>
  </si>
  <si>
    <t xml:space="preserve">VET  POSTAGE                       </t>
  </si>
  <si>
    <t xml:space="preserve">VET  OFFICE SUPPLIES               </t>
  </si>
  <si>
    <t xml:space="preserve">VET  TRAVEL EXPENSES &amp; MEETINGS             </t>
  </si>
  <si>
    <t xml:space="preserve">VET  VETERAN'S BENEFITS            </t>
  </si>
  <si>
    <t>VETERAN'S SERVICES EXPENSES:</t>
  </si>
  <si>
    <t>VETERAN'S SERVICES</t>
  </si>
  <si>
    <t xml:space="preserve">TOTAL VETERAN'S SERVICES:  </t>
  </si>
  <si>
    <t>SOLDIER &amp; GRAVES</t>
  </si>
  <si>
    <t>SOLDIERS &amp; GRAVES EXPENSES:</t>
  </si>
  <si>
    <t xml:space="preserve">TOTAL SOLDIERS &amp; GRAVES:  </t>
  </si>
  <si>
    <t>LIBRARY DEPARTMENT</t>
  </si>
  <si>
    <t>LIBRARY EXPENSES:</t>
  </si>
  <si>
    <t>LIBRARY SALARY &amp; WAGES:</t>
  </si>
  <si>
    <t xml:space="preserve">TOTAL LIBRARY DEPARTMENT:  </t>
  </si>
  <si>
    <t>PARKS &amp; CEMETERIES</t>
  </si>
  <si>
    <t>TREE WARDEN</t>
  </si>
  <si>
    <t>TRW  SAL TREE WARDEN</t>
  </si>
  <si>
    <t xml:space="preserve">TRW  MEAL ALLOWANCE                </t>
  </si>
  <si>
    <t xml:space="preserve">TRW  TREE REMOVAL - CONTRACTED     </t>
  </si>
  <si>
    <t xml:space="preserve">TRW  SPECIAL DETAIL                </t>
  </si>
  <si>
    <t xml:space="preserve">TRW  MISC SUPPLIES                 </t>
  </si>
  <si>
    <t xml:space="preserve">P&amp;C  TENNIS COURTS                 </t>
  </si>
  <si>
    <t xml:space="preserve">P&amp;C  MISC SUPPLIES                 </t>
  </si>
  <si>
    <t xml:space="preserve">P&amp;C  PUBLICATIONS                  </t>
  </si>
  <si>
    <t>P&amp;C  FLARE MAINT/SUPPLIES</t>
  </si>
  <si>
    <t xml:space="preserve">P&amp;C  ANIMAL PICK UP SUPPLIES       </t>
  </si>
  <si>
    <t xml:space="preserve">P&amp;C  MEDICAL SUPPLIES                 </t>
  </si>
  <si>
    <t xml:space="preserve">P&amp;C  VEH, OIL &amp; LUBE             </t>
  </si>
  <si>
    <t xml:space="preserve">P&amp;C  GROUNDSKEEPING                </t>
  </si>
  <si>
    <t xml:space="preserve">P&amp;C  CUSTODIAL                     </t>
  </si>
  <si>
    <t xml:space="preserve">P&amp;C  BUILDING MAINTENANCE          </t>
  </si>
  <si>
    <t xml:space="preserve">P&amp;C  PUBLIC WORKS                  </t>
  </si>
  <si>
    <t xml:space="preserve">P&amp;C  OFFICE SUPPLIES                   </t>
  </si>
  <si>
    <t xml:space="preserve">P&amp;C  ADVERTISING                   </t>
  </si>
  <si>
    <t xml:space="preserve">P&amp;C  POSTAGE                       </t>
  </si>
  <si>
    <t xml:space="preserve">P&amp;C  COMMUNICATIONS    </t>
  </si>
  <si>
    <t xml:space="preserve">P&amp;C  CONSULTANTS                   </t>
  </si>
  <si>
    <t xml:space="preserve">P&amp;C  EQUIPMENT RENTAL              </t>
  </si>
  <si>
    <t>P&amp;C  VEH &amp; EQUIP MAINT</t>
  </si>
  <si>
    <t>P&amp;C  BLDG &amp; GROUNDS MAINT</t>
  </si>
  <si>
    <t xml:space="preserve">P&amp;C  WATER                         </t>
  </si>
  <si>
    <t xml:space="preserve">P&amp;C  ELECTRICITY                   </t>
  </si>
  <si>
    <t xml:space="preserve">P&amp;C  MEAL ALLOWANCE                </t>
  </si>
  <si>
    <t xml:space="preserve">P&amp;C  EDUCATION/LICENSE REIMB       </t>
  </si>
  <si>
    <t xml:space="preserve">P&amp;C  WAGE EQUIP OPERATOR / FT       </t>
  </si>
  <si>
    <t xml:space="preserve">P&amp;C  WAGE LABOR / FT                </t>
  </si>
  <si>
    <t xml:space="preserve">P&amp;C  WAGE LABOR / PT                </t>
  </si>
  <si>
    <t xml:space="preserve">P&amp;C  WAGE OVERTIME                      </t>
  </si>
  <si>
    <t xml:space="preserve">P&amp;C  WAGE LONGEVITY                     </t>
  </si>
  <si>
    <t xml:space="preserve">P&amp;C  SAL SUPERINTENDENT    </t>
  </si>
  <si>
    <t xml:space="preserve">P&amp;C  SAL LONGEVITY                     </t>
  </si>
  <si>
    <t>TREE WARDEN SALARY &amp; WAGES:</t>
  </si>
  <si>
    <t>TREE WARDEN EXPENSES:</t>
  </si>
  <si>
    <t xml:space="preserve">TOTAL TREE WARDEN:  </t>
  </si>
  <si>
    <t>LOCAL AID ASSESSMENTS</t>
  </si>
  <si>
    <t xml:space="preserve">ASMT  MOSQUITO CONTROL              </t>
  </si>
  <si>
    <t xml:space="preserve">ASMT  AIR POLLUTION CONTROL         </t>
  </si>
  <si>
    <t xml:space="preserve">ASMT  METRO AREA PLANNING           </t>
  </si>
  <si>
    <t xml:space="preserve">ASMT  MBTA ASSESSMENT               </t>
  </si>
  <si>
    <t xml:space="preserve">ASMT  SCHOOL CHOICE ASSESSMENT      </t>
  </si>
  <si>
    <t xml:space="preserve">ASMT  RMV NON-RENEWAL SURCHARGE     </t>
  </si>
  <si>
    <t>ASMT  ESSEX COUNTY REGIONAL COMM CTR</t>
  </si>
  <si>
    <t>UNCLASSIFIED/EMPLOYEE BENEFITS:</t>
  </si>
  <si>
    <t xml:space="preserve">TOTAL UNCLASSIFIED / EMPLOYEE BENEFITS:   </t>
  </si>
  <si>
    <t>UNCLASSIFED / EMPLOYEE BENEFITS</t>
  </si>
  <si>
    <t>UNCLASSIFED / INSURANCE</t>
  </si>
  <si>
    <t xml:space="preserve">TOTAL UNCLASSIFIED / INSURANCE:  </t>
  </si>
  <si>
    <t>UNCLASSIFIED / INSURANCE:</t>
  </si>
  <si>
    <t>EMPLOYEE COMPENSATION</t>
  </si>
  <si>
    <t xml:space="preserve">TOTAL EMPLOYEE COMPENSATION:  </t>
  </si>
  <si>
    <t>HISTORICAL COMMISSION</t>
  </si>
  <si>
    <t>HISTORICAL COMMISSION EXPENSES:</t>
  </si>
  <si>
    <t xml:space="preserve">TOTAL HISTORICAL COMMISSION:  </t>
  </si>
  <si>
    <t>HIGHWAY EXPENSES:</t>
  </si>
  <si>
    <t>TOWN HALL EXPENSE</t>
  </si>
  <si>
    <t>TOWN HALL EXPENSES:</t>
  </si>
  <si>
    <t xml:space="preserve">TOTAL TOWN HALL EXPENSE:  </t>
  </si>
  <si>
    <t xml:space="preserve">TWN REPAIRS &amp; MAINTENANCE       </t>
  </si>
  <si>
    <t>TOWN OWNED BUILDINGS</t>
  </si>
  <si>
    <t xml:space="preserve">TOTAL TOWN OWNED BUILDINGS:  </t>
  </si>
  <si>
    <t>TOWN OWN BUILDINGS EXPENSES:</t>
  </si>
  <si>
    <t>CLK  SAL TOWN CLERK</t>
  </si>
  <si>
    <t>CLK  WAGES CLERICAL</t>
  </si>
  <si>
    <t xml:space="preserve">CLK  OVERTIME                      </t>
  </si>
  <si>
    <t xml:space="preserve">CLK  REGISTRARS                    </t>
  </si>
  <si>
    <t xml:space="preserve">CLK  CONSTABLE                     </t>
  </si>
  <si>
    <t xml:space="preserve">CLK  ELECTION WORKERS              </t>
  </si>
  <si>
    <t xml:space="preserve">CLK  BUILDING RENTAL               </t>
  </si>
  <si>
    <t xml:space="preserve">CLK  SAFE DEPOSIT BOX RENTAL       </t>
  </si>
  <si>
    <t xml:space="preserve">CLK  ANNUAL RESIDENTS LISTING      </t>
  </si>
  <si>
    <t xml:space="preserve">CLK  CENSUS FORMS &amp; ENVELOPES      </t>
  </si>
  <si>
    <t xml:space="preserve">CLK  POSTAGE                       </t>
  </si>
  <si>
    <t xml:space="preserve">CLK  RESTOR/PRESERV TOWN RECOR     </t>
  </si>
  <si>
    <t xml:space="preserve">CLK  CENSUS EXPENSE                </t>
  </si>
  <si>
    <t xml:space="preserve">CLK  OFFICE SUPPLIES               </t>
  </si>
  <si>
    <t xml:space="preserve">CLK  DOG TAGS/LICENSE FORMS        </t>
  </si>
  <si>
    <t xml:space="preserve">CLK  ELECTION EXPENSES             </t>
  </si>
  <si>
    <t xml:space="preserve">CLK  TOWN MTG EXPENSES             </t>
  </si>
  <si>
    <t xml:space="preserve">CLK  TRAVEL EXPENSES                                                        &amp; MEETINGS             </t>
  </si>
  <si>
    <t xml:space="preserve">CLK  DUES, PUBL &amp; MMBRSHPS                          </t>
  </si>
  <si>
    <t>CCM  SAL ADMINSTRATOR</t>
  </si>
  <si>
    <t xml:space="preserve">CCM  LONGEVITY                     </t>
  </si>
  <si>
    <t xml:space="preserve">CCM  WAGE MINUTES SECRY             </t>
  </si>
  <si>
    <t>PBD  SAL PLANNING BOARD</t>
  </si>
  <si>
    <t xml:space="preserve">PBD  SAL STORM WAT COORD       </t>
  </si>
  <si>
    <t xml:space="preserve">PBD  POSTAGE                       </t>
  </si>
  <si>
    <t xml:space="preserve">PBD  ADVERTISING                   </t>
  </si>
  <si>
    <t xml:space="preserve">PBD  OFFICE SUPPLIES               </t>
  </si>
  <si>
    <t xml:space="preserve">PBD  TRAVEL EXPENSES                                                 </t>
  </si>
  <si>
    <t xml:space="preserve">ZBD  ADVERTISING                   </t>
  </si>
  <si>
    <t xml:space="preserve">ZBD  POSTAGE                       </t>
  </si>
  <si>
    <t xml:space="preserve">ZBD  OFFICE SUPPLIES               </t>
  </si>
  <si>
    <t xml:space="preserve">ZBD  DUES, PUBL &amp; MMBRSHPS                          </t>
  </si>
  <si>
    <t>POL  SAL POLICE CHIEF</t>
  </si>
  <si>
    <t xml:space="preserve">POL  LONGEVITY                     </t>
  </si>
  <si>
    <t>POL  WAGE REGULAR OFCR</t>
  </si>
  <si>
    <t xml:space="preserve">POL  WAGE POL ADMIN ASST           </t>
  </si>
  <si>
    <t>POL  WAGE CLERICAL</t>
  </si>
  <si>
    <t>POL  WAGE RESERVES</t>
  </si>
  <si>
    <t>POL  WAGE RESERVES-HOLIDAYS</t>
  </si>
  <si>
    <t>POL  WAGE OT REG POL</t>
  </si>
  <si>
    <t>POL  WAGE OT RESERVES</t>
  </si>
  <si>
    <t xml:space="preserve">POL  WAGE INJURY PAY                    </t>
  </si>
  <si>
    <t xml:space="preserve">POL  WAGE NITE DIFF REG POL   </t>
  </si>
  <si>
    <t xml:space="preserve">POL  WAGE NITE DIFF RESERVES </t>
  </si>
  <si>
    <t xml:space="preserve">POL  WAGE ASSIGNED DUTY                 </t>
  </si>
  <si>
    <t xml:space="preserve">POL  WAGE LONGEVITY                     </t>
  </si>
  <si>
    <t xml:space="preserve">POL  WAGE TRAINING                      </t>
  </si>
  <si>
    <t xml:space="preserve">POL  WAGE SPECIALTY PAY                 </t>
  </si>
  <si>
    <t>TOTAL GENERAL GOVERNMENT</t>
  </si>
  <si>
    <t>TOTAL PUBLIC SAFETY</t>
  </si>
  <si>
    <t>TOTAL EDUCATION</t>
  </si>
  <si>
    <t>TOTAL PUBLIC WORKS</t>
  </si>
  <si>
    <t>HUMAN SERVICES</t>
  </si>
  <si>
    <t>PUBLIC WORKS</t>
  </si>
  <si>
    <t>PUBLIC SAFETY</t>
  </si>
  <si>
    <t>GENERAL GOVERNMENT</t>
  </si>
  <si>
    <t>TOTAL HUMAN SERVICES</t>
  </si>
  <si>
    <t>CULTURE &amp; RECREATION</t>
  </si>
  <si>
    <t>DEBT SERVICE</t>
  </si>
  <si>
    <t>TOTAL CULTURE &amp; RECREATION</t>
  </si>
  <si>
    <t>DEBT SERVICE:</t>
  </si>
  <si>
    <t xml:space="preserve">TOTAL DEBT SERVICE:  </t>
  </si>
  <si>
    <t>TOTAL DEBT SERVICE</t>
  </si>
  <si>
    <t>UNCLASSIFIED</t>
  </si>
  <si>
    <t>TOTAL UNCLASSIFIED</t>
  </si>
  <si>
    <t>TRANSFERS / OTHER FINANCING USES</t>
  </si>
  <si>
    <t xml:space="preserve">TRANSFERS / OTHER FINANCING USES:  </t>
  </si>
  <si>
    <t xml:space="preserve">TOTAL TRANSFERS / OTHER FINANCING USES:  </t>
  </si>
  <si>
    <t xml:space="preserve">SEL SAL TOWN ADMINISTRATOR            </t>
  </si>
  <si>
    <t>STIPEND</t>
  </si>
  <si>
    <t>ASSESSMT</t>
  </si>
  <si>
    <t>REFUSE &amp; RECYCLING, OTHER</t>
  </si>
  <si>
    <t>REFUSE &amp; RECYCLING, OTHER EXPENSES:</t>
  </si>
  <si>
    <t xml:space="preserve">TOTAL REFUSE &amp; RECYCLING, OTHER:  </t>
  </si>
  <si>
    <t>MEMORIAL/VETERAN DAY SALARY &amp; WAGES:</t>
  </si>
  <si>
    <t>MEMORIAL/VETERAN DAY EXPENSES:</t>
  </si>
  <si>
    <t>MEMORIAL / VETERAN'S DAY</t>
  </si>
  <si>
    <t xml:space="preserve">TOTAL MEMORIAL / VETERANS'S DAY:  </t>
  </si>
  <si>
    <t>TOTAL GENERAL FUND</t>
  </si>
  <si>
    <t>SUBTOTAL GENERAL FUND</t>
  </si>
  <si>
    <t>SALARIES</t>
  </si>
  <si>
    <t xml:space="preserve">SSP  LEGAL SERVICES                                                     </t>
  </si>
  <si>
    <t xml:space="preserve">SSP  PRKG CLK CONTRACTED SRVS </t>
  </si>
  <si>
    <t xml:space="preserve">SSP  UNFUNDED COMMITTEES           </t>
  </si>
  <si>
    <t xml:space="preserve">FCM  WAGE MINUTE TAKER         </t>
  </si>
  <si>
    <t xml:space="preserve">FCM  PRINTING                      </t>
  </si>
  <si>
    <t xml:space="preserve">FCM  ADVERTISING                   </t>
  </si>
  <si>
    <t xml:space="preserve">FCM  DUES, PUBL &amp; MMBRSHPS                          </t>
  </si>
  <si>
    <t xml:space="preserve">FCM  MISC EXPENSE                 </t>
  </si>
  <si>
    <t>HWY  SAL SUPERINTENDENT</t>
  </si>
  <si>
    <t xml:space="preserve">HWY  LONGEVITY                     </t>
  </si>
  <si>
    <t xml:space="preserve">HWY  OVERTIME                      </t>
  </si>
  <si>
    <t xml:space="preserve">HWY  OVERTIME/COMPOSTING           </t>
  </si>
  <si>
    <t xml:space="preserve">HWY  EXTRA HELP                    </t>
  </si>
  <si>
    <t xml:space="preserve">HWY  POLICE SP DETAIL/FLAGMAN      </t>
  </si>
  <si>
    <t xml:space="preserve">HWY  EMPLOYEE LICENSES             </t>
  </si>
  <si>
    <t xml:space="preserve">HWY  CLOTHING &amp; BOOT ALLOWANCE     </t>
  </si>
  <si>
    <t xml:space="preserve">HWY  MEAL ALLOWANCE                </t>
  </si>
  <si>
    <t xml:space="preserve">HWY  ELECTRICITY                   </t>
  </si>
  <si>
    <t>HWY  MAINT - BUILDING</t>
  </si>
  <si>
    <t>HWY  MAINT - EQUIP</t>
  </si>
  <si>
    <t xml:space="preserve">HWY  MAINT - RADIO REPAIRS     </t>
  </si>
  <si>
    <t xml:space="preserve">HWY  EQUIPMENT RENTAL              </t>
  </si>
  <si>
    <t xml:space="preserve">HWY  STREET PAVING                 </t>
  </si>
  <si>
    <t xml:space="preserve">HWY  LINE PAINTING                 </t>
  </si>
  <si>
    <t xml:space="preserve">HWY  COMMUNICATIONS    </t>
  </si>
  <si>
    <t xml:space="preserve">HWY  POSTAGE                       </t>
  </si>
  <si>
    <t>HWY  ADVERTISING</t>
  </si>
  <si>
    <t xml:space="preserve">HWY  MISC EXPENSE CLEANING        </t>
  </si>
  <si>
    <t xml:space="preserve">HWY  GASOLINE &amp; DIESEL             </t>
  </si>
  <si>
    <t xml:space="preserve">HWY  CUSTODIAL SUPPLIES            </t>
  </si>
  <si>
    <t xml:space="preserve">HWY  PUBLIC WORKS SUPPLIES         </t>
  </si>
  <si>
    <t xml:space="preserve">HWY  MEDICAL SUPPLIES              </t>
  </si>
  <si>
    <t xml:space="preserve">HWY  ROAD MATERIALS                </t>
  </si>
  <si>
    <t xml:space="preserve">HWY  OXYGEN                        </t>
  </si>
  <si>
    <t xml:space="preserve">HWY  FOUL WEATHER GEAR             </t>
  </si>
  <si>
    <t xml:space="preserve">HWY  COMPOSTING EXPENSES           </t>
  </si>
  <si>
    <t xml:space="preserve">HWY  SAFETY GEAR                   </t>
  </si>
  <si>
    <t>HWY  DUES, PUBL &amp; MMBRSHPS &amp; CONF</t>
  </si>
  <si>
    <t>HWY  MAINT SUPPLIES- BUILDING</t>
  </si>
  <si>
    <t>HWY  VEHICLE-OIL &amp; LUBE</t>
  </si>
  <si>
    <t>HWY  VEHICLE-TIRES</t>
  </si>
  <si>
    <t>HWY  VEHICLE-PARTS</t>
  </si>
  <si>
    <t xml:space="preserve">HWY  LEASE-VEHICLE      </t>
  </si>
  <si>
    <t xml:space="preserve">S&amp;I  OVERTIME                      </t>
  </si>
  <si>
    <t xml:space="preserve">S&amp;I  EXTRA HELP                    </t>
  </si>
  <si>
    <t xml:space="preserve">S&amp;I  MEAL ALLOWANCE                </t>
  </si>
  <si>
    <t>S&amp;I  MAINTENANCE</t>
  </si>
  <si>
    <t xml:space="preserve">S&amp;I  EQUIPMENT RENTAL              </t>
  </si>
  <si>
    <t xml:space="preserve">S&amp;I  WEATHER SERVICE               </t>
  </si>
  <si>
    <t xml:space="preserve">S&amp;I  GASOLINE/DIESEL               </t>
  </si>
  <si>
    <t xml:space="preserve">S&amp;I  SAND                          </t>
  </si>
  <si>
    <t xml:space="preserve">S&amp;I  CUTTING EDGES                 </t>
  </si>
  <si>
    <t xml:space="preserve">STR  ELECTRICITY                   </t>
  </si>
  <si>
    <t xml:space="preserve">BOH  SAL BOARD OF HEALTH AGENT         </t>
  </si>
  <si>
    <t xml:space="preserve">BOH  TRAINING                      </t>
  </si>
  <si>
    <t xml:space="preserve">BOH  VISITING NURSES               </t>
  </si>
  <si>
    <t xml:space="preserve">BOH  COMMUNICATIONS    </t>
  </si>
  <si>
    <t xml:space="preserve">BOH  POSTAGE                       </t>
  </si>
  <si>
    <t xml:space="preserve">BOH  PROFESSIONAL SRVS                                                           </t>
  </si>
  <si>
    <t xml:space="preserve">BOH  OFFICE SUPPLIES               </t>
  </si>
  <si>
    <t xml:space="preserve">BOH  FIELD SUPPLIES                </t>
  </si>
  <si>
    <t xml:space="preserve">BOH  TRAVEL EXPENSES                                                        &amp; MEETINGS             </t>
  </si>
  <si>
    <t xml:space="preserve">BOH  DUES, PUBL &amp; MMBRSHPS                          </t>
  </si>
  <si>
    <t xml:space="preserve">BOH  MISC EXPENSE                 </t>
  </si>
  <si>
    <t xml:space="preserve">REF  RUBBISH COLLECTING            </t>
  </si>
  <si>
    <t xml:space="preserve">REF  POSTAGE                       </t>
  </si>
  <si>
    <t xml:space="preserve">REF  PRINTING &amp; ADVERTISING      </t>
  </si>
  <si>
    <t>LIB  SAL LIBRARY DIRECTOR</t>
  </si>
  <si>
    <t>LIB  SAL CHILDREN'S LIB</t>
  </si>
  <si>
    <t>LIB  SAL DEPT HEAD CIRCULATION/ADULT SV</t>
  </si>
  <si>
    <t xml:space="preserve">LIB  SAL LONGEVITY                     </t>
  </si>
  <si>
    <t>LIB  WAGES F/T EMP</t>
  </si>
  <si>
    <t>LIB  WAGES P/T EMP</t>
  </si>
  <si>
    <t xml:space="preserve">LIB  WAGES LONGEVITY                     </t>
  </si>
  <si>
    <t xml:space="preserve">LIB  CONTRACTED CLEANING SERV      </t>
  </si>
  <si>
    <t xml:space="preserve">LIB  SERVICE BUREAU FEE            </t>
  </si>
  <si>
    <t xml:space="preserve">LIB  TELE / COMMUNICATIONS                     </t>
  </si>
  <si>
    <t xml:space="preserve">LIB  POSTAGE                       </t>
  </si>
  <si>
    <t xml:space="preserve">LIB  ADVERTISING                   </t>
  </si>
  <si>
    <t xml:space="preserve">LIB  NETWORK ADMINISTRATION        </t>
  </si>
  <si>
    <t xml:space="preserve">LIB  LIBRARY SUPPORT SUPPLIES      </t>
  </si>
  <si>
    <t xml:space="preserve">LIB  OFFICE - GENERAL              </t>
  </si>
  <si>
    <t xml:space="preserve">LIB  COPIER                        </t>
  </si>
  <si>
    <t xml:space="preserve">LIB  MAINT/ BUILDING               </t>
  </si>
  <si>
    <t xml:space="preserve">LIB  CUSTODIAL SUPPLIES            </t>
  </si>
  <si>
    <t xml:space="preserve">LIB  TRAVEL EXPENSES                                                        &amp; MEETINGS             </t>
  </si>
  <si>
    <t xml:space="preserve">LIB  DUES, PUBL &amp; MMBRSHPS                          </t>
  </si>
  <si>
    <t xml:space="preserve">LIB  EQUIPMENT                     </t>
  </si>
  <si>
    <t xml:space="preserve">INS  WORKMAN'S COMP                </t>
  </si>
  <si>
    <t>INS  PROPERTY LIABILITY</t>
  </si>
  <si>
    <t>INS  ACCIDENT-POLICE</t>
  </si>
  <si>
    <t xml:space="preserve">INS  SURETY BONDS                  </t>
  </si>
  <si>
    <t xml:space="preserve">EMP  ESSEX COUNTY RETIREMENT              </t>
  </si>
  <si>
    <t xml:space="preserve">EMP  MIIA HEALTH BENEFIT TRUST     </t>
  </si>
  <si>
    <t xml:space="preserve">EMP  BOSTON LIFE                   </t>
  </si>
  <si>
    <t xml:space="preserve">EMP  MEDICARE TAX - 1.45%          </t>
  </si>
  <si>
    <t xml:space="preserve">EMP  ADMINISTRATIVE FEES           </t>
  </si>
  <si>
    <t xml:space="preserve">EMP  HRA INPATIENT HOSPITAL        </t>
  </si>
  <si>
    <t>APPROPRIATION</t>
  </si>
  <si>
    <t>FY18</t>
  </si>
  <si>
    <t>Town Government - Expense Categories by Function</t>
  </si>
  <si>
    <t>FY13 Actual</t>
  </si>
  <si>
    <t>FY14 Actual</t>
  </si>
  <si>
    <t>FY15 Actual</t>
  </si>
  <si>
    <t>FY16 Actual</t>
  </si>
  <si>
    <t>General Government</t>
  </si>
  <si>
    <t>Personnel</t>
  </si>
  <si>
    <t>Expenses</t>
  </si>
  <si>
    <t>Capital</t>
  </si>
  <si>
    <t>Subtotal</t>
  </si>
  <si>
    <t>Public Safety</t>
  </si>
  <si>
    <t>Public Works</t>
  </si>
  <si>
    <t>Human Services</t>
  </si>
  <si>
    <t>Debt Service</t>
  </si>
  <si>
    <t>Unclassified</t>
  </si>
  <si>
    <t xml:space="preserve">Town Government Total </t>
  </si>
  <si>
    <t>ELEMENTARY SCHOOL FUND (FUND 003)</t>
  </si>
  <si>
    <t>HIGHWAY CAPITAL:</t>
  </si>
  <si>
    <t>CAPITAL</t>
  </si>
  <si>
    <t>ELEMENTARY SCHOOL FUND:</t>
  </si>
  <si>
    <t>MASCO ASSESSMENT:</t>
  </si>
  <si>
    <t>VOCATIONAL &amp; AGRICULTURAL SCHOOL ASSESSMENTS:</t>
  </si>
  <si>
    <t>Culture &amp; Recreation</t>
  </si>
  <si>
    <t>PROPOSED DEPT BUDGET</t>
  </si>
  <si>
    <t>% Change</t>
  </si>
  <si>
    <t>BOS / TA BUDGET</t>
  </si>
  <si>
    <t>FINANCE COMMITTEE</t>
  </si>
  <si>
    <t>CONTRACT SIGNED 7/13/15; RATE FOR FY17 YE; PAID IN FY18</t>
  </si>
  <si>
    <t>FY17 RATES: EMMAAA $35, MGFOA $60, MMAAA $50 &amp; $45</t>
  </si>
  <si>
    <t>BASED ON ACTUAL COSTS IN FY16 &amp; FY17</t>
  </si>
  <si>
    <t>LEVEL FUNDED BUDGET</t>
  </si>
  <si>
    <t>TRUST FUND CLERK</t>
  </si>
  <si>
    <t>joint tr fund position/stipend; no longer exist</t>
  </si>
  <si>
    <t xml:space="preserve">TRUST FUND CLERK:  </t>
  </si>
  <si>
    <t xml:space="preserve">TOTAL TRUST FUND CLERK:  </t>
  </si>
  <si>
    <t>TRUST FUND CLERK STIPEND</t>
  </si>
  <si>
    <t>COA  OFFICE SUPPLIES</t>
  </si>
  <si>
    <t>EMP  UNEMPLOYMENT INSURANCE</t>
  </si>
  <si>
    <t xml:space="preserve">TOTAL INSPECTIONS DEPARTMENT:  </t>
  </si>
  <si>
    <t>REFUSE EXPENSE</t>
  </si>
  <si>
    <t>RECYCLING  EXPENSE</t>
  </si>
  <si>
    <t xml:space="preserve">TOTAL REFUSE EXPENSE:  </t>
  </si>
  <si>
    <t xml:space="preserve">TOTAL RECYCLING EXPENSE:  </t>
  </si>
  <si>
    <t>Current CCM Administrator retiring DEC 2016</t>
  </si>
  <si>
    <t>FY18 - G4/S4</t>
  </si>
  <si>
    <t>New hire: G7/S10, S11 after 6m probation (AUG 2017)</t>
  </si>
  <si>
    <t>FY18-G9/S3</t>
  </si>
  <si>
    <t>FY18-G6/S3</t>
  </si>
  <si>
    <t>FY18-G6/S4</t>
  </si>
  <si>
    <t>FY18-G10/S5</t>
  </si>
  <si>
    <t>NESFOA 190, NOV 2@60, MAR 2@300, JUN 100 + 120 MTGS</t>
  </si>
  <si>
    <t>See ASR TRAVEL EXPENSE</t>
  </si>
  <si>
    <t>See ASR MTG/CONF/LICENSES</t>
  </si>
  <si>
    <t>Reflects actual costs of M&amp;S &amp; MV reference publications</t>
  </si>
  <si>
    <t>Based on actual costs</t>
  </si>
  <si>
    <t>Patriot Workplan proposal; $500 for pdf vs prop cards</t>
  </si>
  <si>
    <t>$1,071,965 if paid 7/1 (diff = 20,002)</t>
  </si>
  <si>
    <t>BURKE FY18-G7/S4</t>
  </si>
  <si>
    <t>COA LONGEVITY</t>
  </si>
  <si>
    <t>Varies based on number of elections</t>
  </si>
  <si>
    <t>Internat'l Institute of Muni Clerks mbrshp not mandatory</t>
  </si>
  <si>
    <t>Costs to outsource Census (inc envel, mailing, postage)</t>
  </si>
  <si>
    <t>SUMMARY</t>
  </si>
  <si>
    <t>LINE ITEM</t>
  </si>
  <si>
    <t>$500 TO ELECTRICAL &amp; PLUMBING FOR TOPSFIELD FAIR</t>
  </si>
  <si>
    <t>GLENN ($1000/40*30)</t>
  </si>
  <si>
    <t>MARYLOU 19 HRS 1/10/94 ($1500/40*24); 7/1/14 BENEFITS</t>
  </si>
  <si>
    <t>GLENN CLOHECY FY18:G8/S10</t>
  </si>
  <si>
    <t>JOHN THOMPSON; FY18:G6/S11- MAX</t>
  </si>
  <si>
    <t>STAN KULAZZ; FY18:G6/S11- MAX</t>
  </si>
  <si>
    <t>MARYLOU 24RS; FY18:G5/S7</t>
  </si>
  <si>
    <t>KATHERINE JACKSON FY18: G6/S6 36 HRS</t>
  </si>
  <si>
    <t>SANDRA SANGER FY18: G5/S6 12HRS (TEMP INC FROM 9 HRS)</t>
  </si>
  <si>
    <t>MICHALOWSKI FY18: G10/S6 40HRS</t>
  </si>
  <si>
    <t>MCCARTHY FY18l G6/S3 34HRS</t>
  </si>
  <si>
    <t>SACCO FY18:G6/S4 34HRS</t>
  </si>
  <si>
    <t>LAST YEAR OF 5 YR CONTRACT</t>
  </si>
  <si>
    <t>LEVEL FUNDED</t>
  </si>
  <si>
    <t>L. ROSE - REPRESENT 2% INCREASE; PAID QUARTERLY</t>
  </si>
  <si>
    <t>CAROL LAROQUE-REPRESENT 2% INCREASE; PAID MONTHLY</t>
  </si>
  <si>
    <t>PETER MULHOLLAND-REPRESENT 2% INCREASE; PAID MNTH</t>
  </si>
  <si>
    <t>DAVE BOND-REPRESENTS 2% INCREASE; PAID MONTHLY</t>
  </si>
  <si>
    <t>KELLIE HEBERT NEW CONTRACT FY17-18-19</t>
  </si>
  <si>
    <t>CONTRACTUAL PER CONTRACT FY17-18-19</t>
  </si>
  <si>
    <t>MOVED TO TOWN HALL BUDGET</t>
  </si>
  <si>
    <t xml:space="preserve">PEG  OTHER WEB &amp; CABLE EXPENSES                    </t>
  </si>
  <si>
    <t>CONTRACT FOR VENDOR TO RUN CABLE OPERATION</t>
  </si>
  <si>
    <t>WEBSITE MOVED TO TOWN HALL ACCOUNT</t>
  </si>
  <si>
    <t>WIDEBERG 10 YRS - $750 PRO-RATED (750/40*30)</t>
  </si>
  <si>
    <t>WIDEBERG FY18-G4/S9 $35,786.40; 30 HRS</t>
  </si>
  <si>
    <t>PEG /CABLE ADVISORY</t>
  </si>
  <si>
    <t>CODE</t>
  </si>
  <si>
    <t>SUE WINSLOW</t>
  </si>
  <si>
    <t>DONNA RICH</t>
  </si>
  <si>
    <t>LEVEL FUNDED DEPARTMENT</t>
  </si>
  <si>
    <t xml:space="preserve">TOTAL PEG /CABLE ADVISORY:  </t>
  </si>
  <si>
    <t xml:space="preserve">TOWN PEG/CABLE ADVISORY EXPENSES:  </t>
  </si>
  <si>
    <t xml:space="preserve">TOWN PEG/CABLE ADVISORY SALARY &amp; WAGES:  </t>
  </si>
  <si>
    <t xml:space="preserve">BOH  LONGEVITY      </t>
  </si>
  <si>
    <t>SGT LEBEL RETIRED; NEW HIRE REDUCED QUINN REQUIREMT</t>
  </si>
  <si>
    <t>CONTRACTUAL</t>
  </si>
  <si>
    <t>SGT LEBEL RETIRED</t>
  </si>
  <si>
    <t>INC IN TRAINING HRS PER MPTC &amp; MPAC REQUIREMENT</t>
  </si>
  <si>
    <t>INCREASE COST</t>
  </si>
  <si>
    <t>INCREASED USAGE</t>
  </si>
  <si>
    <t>BASED ON ACTUAL COSTS</t>
  </si>
  <si>
    <t>SOFTWARE-MPAC ACCREDITATION SOFTWARE</t>
  </si>
  <si>
    <t>BAN PAY DOWN FIRE LADDER TRUCK</t>
  </si>
  <si>
    <t>Vacant; Proposed hiring at G4/S2</t>
  </si>
  <si>
    <t>Celebrates 10 yr anniversary; started 9/25/06</t>
  </si>
  <si>
    <t>FY18-G7/S11</t>
  </si>
  <si>
    <t>MOVED FROM WAGES</t>
  </si>
  <si>
    <t>JEN DAVIS FY18-G3/S7 based on 72hrs</t>
  </si>
  <si>
    <t>LOCAL AID ASSESSMENT:</t>
  </si>
  <si>
    <t xml:space="preserve">TOTAL LOCAL AIDE ASSESSMENT:  </t>
  </si>
  <si>
    <t>TOTAL TRANSFERS / OTHER FINANCING USES</t>
  </si>
  <si>
    <t>LEVEL FUND PER EMAIL FROM RICHARD CULLINAN</t>
  </si>
  <si>
    <t>INCREASE / DECREASES</t>
  </si>
  <si>
    <t>TWN TELE / COMMUNICATIONS</t>
  </si>
  <si>
    <t>PROJECTED; SEE ATTACHED WORKSHEETS</t>
  </si>
  <si>
    <t>BUDGET NOTES</t>
  </si>
  <si>
    <t>PEG/CABLE ADVISORY</t>
  </si>
  <si>
    <t xml:space="preserve">PEG/CABLE ADVISORY SALARY &amp; WAGES:  </t>
  </si>
  <si>
    <t xml:space="preserve">PEG/CABLE ADVISORY EXPENSES:  </t>
  </si>
  <si>
    <t xml:space="preserve">TOTAL PEG/CABLE ADVISORY:  </t>
  </si>
  <si>
    <t xml:space="preserve">Education  </t>
  </si>
  <si>
    <t>TOTAL</t>
  </si>
  <si>
    <t>Actuary required every 2 years; Cont  Odyssey - Parker Elmore</t>
  </si>
  <si>
    <t>DAVID BOND; FY18:G10/S7; HIRED 10/29/87</t>
  </si>
  <si>
    <t>LEVEL FUNDED - UNION CONTRACT EXPIRED</t>
  </si>
  <si>
    <t>ANN MARIE YEO; FY18:G5/S8; 4/14/05</t>
  </si>
  <si>
    <t>YOUNG FY18:G2/S7 12 HRS,  SHELAGH FY18:G2/S3 6 HRS</t>
  </si>
  <si>
    <t>Increase due to cost related to Engine 2 repair of body rot</t>
  </si>
  <si>
    <t>old portable screen not reading LED; don't fit new chargers</t>
  </si>
  <si>
    <t>Fire alarm maint reprogramming for occupancy changes</t>
  </si>
  <si>
    <t>Inc cost due to use of disposable and regulatory requirements</t>
  </si>
  <si>
    <t>MOVED $1,200 TO EXPENSES</t>
  </si>
  <si>
    <t xml:space="preserve">B0H  WAGES SANITARIANS FOR FAIR          </t>
  </si>
  <si>
    <t xml:space="preserve">B0H  WAGES BOARD SECRETARY               </t>
  </si>
  <si>
    <t xml:space="preserve">COA WAGE SECRETARY                     </t>
  </si>
  <si>
    <t xml:space="preserve">COA WAGE VAN DRIVERS                   </t>
  </si>
  <si>
    <t>RESERVE</t>
  </si>
  <si>
    <t>RESERVE FUND</t>
  </si>
  <si>
    <t>SALARY RESERVE FUND</t>
  </si>
  <si>
    <t>Reviewed Budget; Includes 6.21% increase from MIIA</t>
  </si>
  <si>
    <t>RATIONALE / NARRATIVE (ORIGINAL)</t>
  </si>
  <si>
    <t>STORMWATER MANAGEMENT</t>
  </si>
  <si>
    <t>STORMWATER EXPENSES</t>
  </si>
  <si>
    <t>STORMWATER SALARY &amp; WAGES:</t>
  </si>
  <si>
    <t>TOTAL STORMWATER MANAGEMENT:</t>
  </si>
  <si>
    <t>STM CONSULTANT</t>
  </si>
  <si>
    <t>STORMWATER EXPENSES:</t>
  </si>
  <si>
    <t xml:space="preserve">TOTAL STORMWATER MANAGEMENT:  </t>
  </si>
  <si>
    <t>STORMWATER MNGMT SALARY &amp; WAGES:</t>
  </si>
  <si>
    <t xml:space="preserve">STM  STORM WAT COORD STIPEND      </t>
  </si>
  <si>
    <t>MOVED TO DEPT 411 StormWater Management</t>
  </si>
  <si>
    <t>FINAL Estimate: 5% Increase; Memo from procurement</t>
  </si>
  <si>
    <t>TOWN OF TOPSFIELD</t>
  </si>
  <si>
    <t>FINAL Estimate: 7% Increase</t>
  </si>
  <si>
    <t>ADJUSTED TO ACTUAL SALARY OF NEW TOWN CLERK</t>
  </si>
  <si>
    <t>BAN PAY DOWN</t>
  </si>
  <si>
    <t>FIN COMM</t>
  </si>
  <si>
    <t>FY19</t>
  </si>
  <si>
    <t xml:space="preserve">TWN UTILITIES - TEMP TOWN HALL                           </t>
  </si>
  <si>
    <t>POL EQUIPMENT</t>
  </si>
  <si>
    <t xml:space="preserve">POL TRAVEL EXPENSES &amp; MEETINGS             </t>
  </si>
  <si>
    <t>FIR STIPEND/PHONE&amp;COMPUTER</t>
  </si>
  <si>
    <t xml:space="preserve">FIR TRAVEL EXPENSES &amp; MEETINGS             </t>
  </si>
  <si>
    <t>MOVED TO POLICE SPECIAL IDEMNITY FUND IN FY18</t>
  </si>
  <si>
    <t>Requesting to change position from Hourly to Salaried</t>
  </si>
  <si>
    <t xml:space="preserve">TBD ELECTRICITY                   </t>
  </si>
  <si>
    <t>Dept supported by offset from PEG Cable Res'd for APPROP</t>
  </si>
  <si>
    <t>Department closed</t>
  </si>
  <si>
    <t xml:space="preserve">L/T PRINCIPAL - MULTI PURPOSE 2011            </t>
  </si>
  <si>
    <t>L/T PRINCIPAL - MULTI PURPOSE 2017</t>
  </si>
  <si>
    <t>L/T PRINCIPAL - MULTI PURPOSE 2012</t>
  </si>
  <si>
    <t>FY18, Unemploymt Comp Fd (088) est.; As of 12/15/17, bal=$57,823.77.</t>
  </si>
  <si>
    <t>Actuarial required every 2 yrs per GASB; Budgeted on "even" yrs</t>
  </si>
  <si>
    <t>Fluctuates based on # elections; Anticipate (1) Local &amp; (2) State Elections</t>
  </si>
  <si>
    <t xml:space="preserve">Requesting increase of $64,080; Approp Ltr dtd 12/12/17 - ERRB </t>
  </si>
  <si>
    <t>Personnel By-Laws - FY19 Grade 05 / Step 06</t>
  </si>
  <si>
    <t>Personnel By-Laws - FY19 Grade 10 / Step 08</t>
  </si>
  <si>
    <t>Personnel By-Laws - FY19 Grade 10 / Step 06</t>
  </si>
  <si>
    <t>Personnel By-Laws - FY19 Grade 06 / Step 05</t>
  </si>
  <si>
    <t>Personnel By-Laws - FY19 Grade 09 / Step 04</t>
  </si>
  <si>
    <t>Personnel By-Laws - FY19 Grade 06 / Step 04</t>
  </si>
  <si>
    <t>Personnel By-Laws - FY19 Grade 10 / Step 07</t>
  </si>
  <si>
    <t>Personnel By-Laws - FY19 Grade 07 / Step 05</t>
  </si>
  <si>
    <t>Personnel By-Laws - FY19 Grade 05 / Step 03</t>
  </si>
  <si>
    <t>Personnel By-Laws - FY19 Grade 05 / Step 07 17hours</t>
  </si>
  <si>
    <t>Personnel By-Laws - FY19 Grade 06 / Step 07</t>
  </si>
  <si>
    <t xml:space="preserve">Personnel By-Laws - FY19 Gr04/Step05; inc 24hrs ($504) AA coverage </t>
  </si>
  <si>
    <t>Personnel By-Laws - FY19 Grade 06 / Step 11</t>
  </si>
  <si>
    <t>Personnel By-Laws - FY19 Grade 05 / Step 08</t>
  </si>
  <si>
    <t>Personnel By-Laws - FY19 Grade 08 / Step 11</t>
  </si>
  <si>
    <t>Personnel By-Laws - FY19 Grade 09 / Step 06</t>
  </si>
  <si>
    <t>Personnel By-Laws - FY19 Grade 05 / Step 07</t>
  </si>
  <si>
    <t>Personnel By-Laws - FY19 Grade 07 / Step 11</t>
  </si>
  <si>
    <t>Personnel By-Laws - FY19 Grade 07 / Step 5</t>
  </si>
  <si>
    <t>Personnel By-Laws; Actual cost of 2 Drivers is $21,528+; partly funded through Title III grant</t>
  </si>
  <si>
    <r>
      <t xml:space="preserve">"OTHER" OVER GUIDELINES  
</t>
    </r>
    <r>
      <rPr>
        <b/>
        <i/>
        <sz val="9"/>
        <color theme="5" tint="0.39997558519241921"/>
        <rFont val="Calibri"/>
        <family val="2"/>
        <scheme val="minor"/>
      </rPr>
      <t>CONTRACTUAL</t>
    </r>
  </si>
  <si>
    <r>
      <t xml:space="preserve">"OTHER" OVER GUIDELINE   
</t>
    </r>
    <r>
      <rPr>
        <i/>
        <sz val="9"/>
        <color rgb="FF7030A0"/>
        <rFont val="Calibri"/>
        <family val="2"/>
        <scheme val="minor"/>
      </rPr>
      <t>ADD'L FUNDS NEEDED</t>
    </r>
  </si>
  <si>
    <r>
      <rPr>
        <sz val="10"/>
        <rFont val="Calibri"/>
        <family val="2"/>
        <scheme val="minor"/>
      </rPr>
      <t>ESSENTIAL/UN-FUNDED</t>
    </r>
    <r>
      <rPr>
        <sz val="10"/>
        <color rgb="FF0070C0"/>
        <rFont val="Calibri"/>
        <family val="2"/>
        <scheme val="minor"/>
      </rPr>
      <t xml:space="preserve">
</t>
    </r>
    <r>
      <rPr>
        <i/>
        <sz val="10"/>
        <color rgb="FF0070C0"/>
        <rFont val="Calibri"/>
        <family val="2"/>
        <scheme val="minor"/>
      </rPr>
      <t>NEW ITEMS</t>
    </r>
  </si>
  <si>
    <t xml:space="preserve">"OTHER EXPENSE" LINE ITEMS OVER GUIDELINES &amp; ESSENTIAL UN-FUNDED LINE ITEMS </t>
  </si>
  <si>
    <t>Individual Employment Contract</t>
  </si>
  <si>
    <t>Line item moved with change from Hourly to Salaried Employee</t>
  </si>
  <si>
    <t>2% Increase</t>
  </si>
  <si>
    <t>FRONT END LOADER ($125,000 WITH TRADE) ON CAPITAL PLAN</t>
  </si>
  <si>
    <t xml:space="preserve">PEG  WEBSITE SOFTWARE/LICENSES     </t>
  </si>
  <si>
    <t>Requesting change from Hourly to Salaried; FY19 Gr7/Step6</t>
  </si>
  <si>
    <t>Based on 2 hr/wk 36 wks/yr; FY19 Gr 3 / Step 8</t>
  </si>
  <si>
    <t>Personnel By-Laws - FY19 Grade 05 / Step 09 (14 HOURS)</t>
  </si>
  <si>
    <t>Personnel By-Laws - FY19 Grade 09 / Step 06 (ZALEWSKI)</t>
  </si>
  <si>
    <t>Personnel By-Laws - FY19 Gr 07/Step06;  Change in Title/Grade DEC 17</t>
  </si>
  <si>
    <t>Personnel By-Laws - FY19 Grade 06 / Step 05 (MANNING)</t>
  </si>
  <si>
    <t>Personnel By-Laws - FY19 Grade 06 / Step 04 (RECKA)</t>
  </si>
  <si>
    <t>Personnel By-Laws - FY19 Grade 05 / Step 03 (BOUDREAU)</t>
  </si>
  <si>
    <t>Personnel By-Laws - FY19 Grade XX / Step XX (6 P/T EMPLOYEES)</t>
  </si>
  <si>
    <t>THIS IS BEING USED AS PLACEHOLDER FOR UNION CONTRACTS</t>
  </si>
  <si>
    <t>FY17 Actual</t>
  </si>
  <si>
    <t>NET RESULT WILL BE -0- IN SALARY RESERVE</t>
  </si>
  <si>
    <t xml:space="preserve">P&amp;C  SRVS                                                                        </t>
  </si>
  <si>
    <t>REDUCE TO -0-; INCLUDED IN POLICE REG OT</t>
  </si>
  <si>
    <t>Individual Employment Contract (EXPIRES 6/30/19)</t>
  </si>
  <si>
    <t>COA  OTHER</t>
  </si>
  <si>
    <t>Annual Maint Fee - My Seniorcare (FY18); moved to 54105-53040</t>
  </si>
  <si>
    <t xml:space="preserve">LANDFILL  </t>
  </si>
  <si>
    <t>Requesting $40,000 as new Dept in General Fund; $27,550 offset</t>
  </si>
  <si>
    <t>LANDFILL</t>
  </si>
  <si>
    <t>LANDFILL EXPENSES</t>
  </si>
  <si>
    <t xml:space="preserve">TOTAL LANDFILL:  </t>
  </si>
  <si>
    <t>LANDFILL EXPENSE:</t>
  </si>
  <si>
    <t>Personnel By-Laws - FY19 NEW EMPLOYEE Grade 6 / Step 9</t>
  </si>
  <si>
    <t>HOLIDAY ON THE GREEN CELEBRATION</t>
  </si>
  <si>
    <t>HOLIDAY ON THE GREEN EXPENSES:</t>
  </si>
  <si>
    <t xml:space="preserve">TOTAL HOLIDAY ON THE GREEN:  </t>
  </si>
  <si>
    <t>HOLIDAY ON THE GREEN</t>
  </si>
  <si>
    <t>PRELIMINARY FY19 BUDGET   $8,308,071</t>
  </si>
  <si>
    <t>Based on Actual Long-term Debt Schedule</t>
  </si>
  <si>
    <t>FIR WAGE OT &amp; CALLBACK (F/T FF)</t>
  </si>
  <si>
    <t xml:space="preserve">FIR WAGE STATION COVERAGE (CALL FF)              </t>
  </si>
  <si>
    <t>2% increase FY18 &amp; 2% FY19 as negotiated in FF Contract</t>
  </si>
  <si>
    <t>NEW CALL FIREFIGHTER CONTRACT:   7/1/2017 - 6/30/2020</t>
  </si>
  <si>
    <t>CONTRACTUAL $1,000 F/T FF; $2,900 Call FF</t>
  </si>
  <si>
    <t>MOVED TO SALARY &amp; WAGES; PAID THROUGH PAYROLL</t>
  </si>
  <si>
    <t>APPR'D IN FY18 BUDGET; Negot'd in NEW CONTRACT - Start 4/1/18</t>
  </si>
  <si>
    <t>FIR WAGE OVERNIGHT COVERAGE</t>
  </si>
  <si>
    <t>FIR WAGE RESPONSE INCENTIVE</t>
  </si>
  <si>
    <t>Moved - CONTRACTUAL $1,000 Chief; $4,680 F/T FF; $3,450 Call FF</t>
  </si>
  <si>
    <t>NEW FIREFIGHTER CONTRACT:   7/1/2017 - 6/30/2020; inc stipends</t>
  </si>
  <si>
    <t>New: CONTRACTUAL-Call FF  $250 incentive for 20% calls (15*75%)</t>
  </si>
  <si>
    <t>Requesting $2,000 increase (per Chief's Contract) / FCM APPRV'D</t>
  </si>
  <si>
    <t>New: CONTRACTUAL-Full Time FF  Specialty Stipends (4)</t>
  </si>
  <si>
    <t xml:space="preserve">FIR WAGE SPECIALTY STIPENDS             </t>
  </si>
  <si>
    <t>Longevity based on Personnel Bylaws</t>
  </si>
  <si>
    <t>PAYROLL RELATED UNIFORM ALLOWANCE MOVED PER SCH A</t>
  </si>
  <si>
    <t xml:space="preserve">REDUCED TO -0- DUE TO CREATION OF CAPTAINS POSITION </t>
  </si>
  <si>
    <t>TRS WAGE LONGEVITY</t>
  </si>
  <si>
    <t>2nd PRELIMINARY FY19 BUDGET PROVIDED  3/15/18</t>
  </si>
  <si>
    <t>PRELIMINARY FY19 BUDGET  3/15/18</t>
  </si>
  <si>
    <t xml:space="preserve">REVISED 2/20/18 </t>
  </si>
  <si>
    <t xml:space="preserve">POL UNIFORM EXPENSE     </t>
  </si>
  <si>
    <t xml:space="preserve">Requesting increase of $10,000; FCM APPROVED $5000 </t>
  </si>
  <si>
    <t>Requesting increase of $4,100; FCM APPROVED $4,100</t>
  </si>
  <si>
    <t>REQUESTING $750; CONTRACTUAL; FCM APPROVED $750</t>
  </si>
  <si>
    <t>Requesting increase of $2,472; FCM DID NOT APPROVE</t>
  </si>
  <si>
    <t>Requesting increase of $1,442.00; FCM DID NOT APPROVE</t>
  </si>
  <si>
    <t>Requesting increase of $2,000;FCM APPROVED</t>
  </si>
  <si>
    <t>Requesting increase of $3,000; REQUEST WITHDRAWN BY K.H.</t>
  </si>
  <si>
    <t>Requesting increase of $300; FCM APPROVED</t>
  </si>
  <si>
    <t>Requesting increase of $2,750; FCM APPROVED</t>
  </si>
  <si>
    <t>APPROVED BY FCM 3/22</t>
  </si>
  <si>
    <t>Requesting increase of $929; FCM VOTED NO ACTION</t>
  </si>
  <si>
    <t>Requesting increase of $2,175; FCM APPROVED 3/12/18</t>
  </si>
  <si>
    <t>Requesting increase of $20,112; APPROVED BY FCM 3/19/18</t>
  </si>
  <si>
    <t>Requesting increase of $1,000; FCM VOTED NO ACTION</t>
  </si>
  <si>
    <t>Requesting increase of $210,000; REQUEST WITHDRAWN BY K.H.</t>
  </si>
  <si>
    <t>Requesting increase of $8,649; APPROVED BY FCM 3/22/18</t>
  </si>
  <si>
    <t>Requesting increase of $13,634; APPROVED BY FCM 3/22/18</t>
  </si>
  <si>
    <t>Requesting increase of $20,592; APPROVED BY FCM 3/22/18</t>
  </si>
  <si>
    <t>FIRE ALARM MONITORING $1,000; FCM APPROVED 3/22/18</t>
  </si>
  <si>
    <t>$2500 for AMB BILLING;CONTRACTUAL; FCM Approved 3/22</t>
  </si>
  <si>
    <t>Requesting $1,000; FCM APPROVED 3/19/18</t>
  </si>
  <si>
    <t>Requesting $400; Myseniorcare Maint Fee $790; FCM Approved</t>
  </si>
  <si>
    <t>Requesting $400; Increased # of newsletters; FCM: NO ACTION</t>
  </si>
  <si>
    <t>REQUESTING NEW DEPT, $1000; FCM:  NO ACTON</t>
  </si>
  <si>
    <t>$2,500 for Medical Supplies; FCM Approved 3/26</t>
  </si>
  <si>
    <t>SALARY RESERVE FOR $5,000 Increase to Town Clerk</t>
  </si>
  <si>
    <t>Requesting increase of $1,426; FCM Approved 3/26</t>
  </si>
  <si>
    <t>Requesting increase of $300; FCM Approved 3/26</t>
  </si>
  <si>
    <t>Requesting increase of $308; FCM Approved 3/26</t>
  </si>
  <si>
    <t>Requesting increase of $537; FCM Approved 3/26</t>
  </si>
  <si>
    <t xml:space="preserve">SEL SAL LONGEVITY                     </t>
  </si>
  <si>
    <t xml:space="preserve">SEL WAGE LONGEVITY                     </t>
  </si>
  <si>
    <t xml:space="preserve">SEL WAGE OVERTIME                </t>
  </si>
  <si>
    <t xml:space="preserve">SEL ANNL WAR/TWN RPT   </t>
  </si>
  <si>
    <t>FY20</t>
  </si>
  <si>
    <t>TWN MAINTENANCE PRINTERS</t>
  </si>
  <si>
    <t>TWN FAX SUPPLIES</t>
  </si>
  <si>
    <t>TWN COPIER EXP/B&amp;W</t>
  </si>
  <si>
    <t>TWN COPIER EXP/COLOR</t>
  </si>
  <si>
    <t>TWN TRAVEL EXPENSE</t>
  </si>
  <si>
    <t>POL CHIEF, RET</t>
  </si>
  <si>
    <t>POL WAGE CAPTAIN</t>
  </si>
  <si>
    <t>FIR ADVERTISING</t>
  </si>
  <si>
    <t>FIR PROF DEVELOP</t>
  </si>
  <si>
    <t>Attachment A</t>
  </si>
  <si>
    <t>DATE</t>
  </si>
  <si>
    <t>NOTE</t>
  </si>
  <si>
    <t>Long Term Employee Required in April 2018</t>
  </si>
  <si>
    <t xml:space="preserve"> Personnel By-Laws - FY20 Grade 8 / Step 11 </t>
  </si>
  <si>
    <t xml:space="preserve"> Personnel By-Laws - FY20 Grade 6 / Step 11 </t>
  </si>
  <si>
    <t xml:space="preserve"> Personnel By-Laws - FY20 Grade 6 / Step 6 </t>
  </si>
  <si>
    <t xml:space="preserve"> Personnel By-Laws - FY20 Grade 10 / Step 7 </t>
  </si>
  <si>
    <t xml:space="preserve">Contractual 2%; 2.26% </t>
  </si>
  <si>
    <t xml:space="preserve"> Personnel By-Laws - FY20 Gr 5/Stp 9; Decrease due to retirement</t>
  </si>
  <si>
    <t xml:space="preserve"> Personnel By-Laws - FY20 Grade 7 / Step 6 </t>
  </si>
  <si>
    <t xml:space="preserve"> Personnel By-Laws - FY20 Grade 5 / Step 8; Error in FY19 Budget</t>
  </si>
  <si>
    <t>Personnel Director's Recommendation - 2% Increase</t>
  </si>
  <si>
    <t xml:space="preserve">INT-MULTI PURPOSE 2017            </t>
  </si>
  <si>
    <t xml:space="preserve">INT-MULTI PURPOSE 2012            </t>
  </si>
  <si>
    <t xml:space="preserve">INT-MULTI PURPOSE 2011            </t>
  </si>
  <si>
    <t xml:space="preserve"> Personnel By-Laws - FY20 Grade 9 / Step 5 </t>
  </si>
  <si>
    <t xml:space="preserve"> Personnel By-Laws - FY20 Grade 6 / Step 5</t>
  </si>
  <si>
    <t xml:space="preserve">INS  TELE / COMMUNICATIONS                     </t>
  </si>
  <si>
    <t xml:space="preserve">INS  POSTAGE                       </t>
  </si>
  <si>
    <t xml:space="preserve">INS  OFFICE SUPPLIES               </t>
  </si>
  <si>
    <t xml:space="preserve">INS  FORMS                         </t>
  </si>
  <si>
    <t xml:space="preserve">INS  PUBLICATIONS                  </t>
  </si>
  <si>
    <t xml:space="preserve">INS  TRAVEL EXPENSES                                                        &amp; MEETINGS             </t>
  </si>
  <si>
    <t xml:space="preserve">INS  DUES, PUBL &amp; MMBRSHPS                          </t>
  </si>
  <si>
    <t xml:space="preserve">INS  OFC EQUIP &amp; FURNITURE         </t>
  </si>
  <si>
    <t>INS  SAL BUILDING INSP (APPT'D)</t>
  </si>
  <si>
    <t>INS  SAL GAS/PLUMB INSP</t>
  </si>
  <si>
    <t>INS  SAL WIRING INSP</t>
  </si>
  <si>
    <t xml:space="preserve">INS  SAL LONGEVITY                     </t>
  </si>
  <si>
    <t xml:space="preserve">INS  WAGE ADMIN ASST      </t>
  </si>
  <si>
    <t xml:space="preserve">INS  WAGE LONGEVITY                     </t>
  </si>
  <si>
    <t xml:space="preserve"> Personnel By-Laws - FY20 Grade 5 / Step 8</t>
  </si>
  <si>
    <t xml:space="preserve"> Personnel By-Laws - FY20 Grade 7 / Step 11</t>
  </si>
  <si>
    <t xml:space="preserve"> FY19 chngd from G7/S5 to G8/S3; Personnel By-Laws-FY20 G8/S4 </t>
  </si>
  <si>
    <t>Personnel By-Laws - no overtime for Part time or salaried employees</t>
  </si>
  <si>
    <t>FY19 = 3 elections; FY20 = 2 elections (1 Pres primary, 1 local)</t>
  </si>
  <si>
    <t>Personnel Director's Rec - 2% Increase stipend positions</t>
  </si>
  <si>
    <t xml:space="preserve"> Personnel By-Laws - FY20 Grade 10 / Step 9 </t>
  </si>
  <si>
    <t xml:space="preserve"> Personnel By-Laws - FY20 Grade 5 / Step 10 </t>
  </si>
  <si>
    <t>Contractual</t>
  </si>
  <si>
    <t xml:space="preserve">Requesting additional $5,640 </t>
  </si>
  <si>
    <t>Requesting additional $13,000</t>
  </si>
  <si>
    <t>Requesting additional $11,000</t>
  </si>
  <si>
    <t>Requesting additional $3,500</t>
  </si>
  <si>
    <t>Requesting additional $1,244</t>
  </si>
  <si>
    <t>Requesting additional $100</t>
  </si>
  <si>
    <t>Requesting additional $1,000</t>
  </si>
  <si>
    <t>Requesting additional $96,588 per ERRB Assessment</t>
  </si>
  <si>
    <t>Requesting additional $136,500</t>
  </si>
  <si>
    <t>Requesting additional $3,854</t>
  </si>
  <si>
    <t>Requesting additional $5,727</t>
  </si>
  <si>
    <t>Requesting additional $65,000</t>
  </si>
  <si>
    <t xml:space="preserve"> Personnel By-Laws - FY20 Grade 7 / Step 7 </t>
  </si>
  <si>
    <t xml:space="preserve"> Personnel By-Laws - FY20 Grade 6 / Step 10 </t>
  </si>
  <si>
    <t>SEL WAGE MINUTES SECRETARY</t>
  </si>
  <si>
    <t>Moving money reflects a change of coverage</t>
  </si>
  <si>
    <t>Contractual / Estimated</t>
  </si>
  <si>
    <t>Contractual / Based on Actual</t>
  </si>
  <si>
    <t>Requesting additional $8,050</t>
  </si>
  <si>
    <t xml:space="preserve"> Personnel By-Laws - FY20 Grade 9 / Step 7 </t>
  </si>
  <si>
    <t xml:space="preserve"> Personnel By-Laws - FY20 Grade 5 / Step 7 </t>
  </si>
  <si>
    <t>Contractual 2% increase</t>
  </si>
  <si>
    <t>Requesting additional $4,674 &amp; change of service use</t>
  </si>
  <si>
    <t>Requesting additional $2,298</t>
  </si>
  <si>
    <t>Adjustment for part time staff</t>
  </si>
  <si>
    <t>FY19 = 3 elections; FY20 = 2 elections (1 Pres prim'y, 1 local); $12 Wage</t>
  </si>
  <si>
    <t xml:space="preserve"> Personnel By-Laws - FY20 Grade 5 / Step 5; Not fully budgeted LY</t>
  </si>
  <si>
    <t xml:space="preserve"> Personnel By-Laws - FY20 Grade 4 / Step 6 </t>
  </si>
  <si>
    <t xml:space="preserve"> Personnel By-Laws - FY20 Grade 6 / Step 8 </t>
  </si>
  <si>
    <t>Moved to Wages - paid through payroll</t>
  </si>
  <si>
    <t>Moved from "Other" - paid through payroll</t>
  </si>
  <si>
    <t>Requesting additional $5,250</t>
  </si>
  <si>
    <t>CLK  ADD'L WAGES CLERICAL</t>
  </si>
  <si>
    <t>Moved from "Other" to Wages; PAID THROUGH PAYROLL</t>
  </si>
  <si>
    <t xml:space="preserve">FY20 </t>
  </si>
  <si>
    <t>TRFR TO UNEMPLOYMENT</t>
  </si>
  <si>
    <t>TRFR TO COMPENSATED ABSENSES</t>
  </si>
  <si>
    <t>TRFR TO SP IDEMNITY FUND (POL/FIR)</t>
  </si>
  <si>
    <t>Reflect actual rate @ $18.04 / 4 hour shift</t>
  </si>
  <si>
    <t>Contractual based on Police Union Contract</t>
  </si>
  <si>
    <t>Contractual:  Reserve Officer Incentive</t>
  </si>
  <si>
    <t xml:space="preserve">POL  WAGE RESERVE INCENTIVE  </t>
  </si>
  <si>
    <t>3 yr Contract Expires 06/30/19; Currently under negotiations</t>
  </si>
  <si>
    <t xml:space="preserve"> Personnel By-Laws - FY20 Grade 3 / Step 9 </t>
  </si>
  <si>
    <t>Last year of existing contract</t>
  </si>
  <si>
    <t>Requesting $7,650</t>
  </si>
  <si>
    <t>Requesting $2,125</t>
  </si>
  <si>
    <t>ASR PROF SRVS - CYCLICLE REINSPECTIONS</t>
  </si>
  <si>
    <t>Requesting $10,000</t>
  </si>
  <si>
    <t>Requesting Additional $5,650 for cleaning currently in TH Other</t>
  </si>
  <si>
    <t>Requesting additional $10,000; offset by increase in revenues</t>
  </si>
  <si>
    <t xml:space="preserve"> Personnel By-Laws - FY20 Grade 7 / Step 6</t>
  </si>
  <si>
    <t xml:space="preserve"> Personnel By-Laws - FY20 Grade 5 / Step 7</t>
  </si>
  <si>
    <t xml:space="preserve"> Personnel By-Laws - FY20 G2/S9 &amp; G2/S4; Requesting $4,240</t>
  </si>
  <si>
    <t>APPROPRIATED</t>
  </si>
  <si>
    <t>Captain wages moved; Requesting $115,495 for 2 Officers</t>
  </si>
  <si>
    <t>Captain wages moved; Contractual</t>
  </si>
  <si>
    <t xml:space="preserve">Contractual; Proposed 2 officers results in $13,096 reduction </t>
  </si>
  <si>
    <t xml:space="preserve">Proposed 2 officers results in minimun of $51,087 reduction </t>
  </si>
  <si>
    <t xml:space="preserve">Contractual; Proposed 2 officers results in min $403 reduction </t>
  </si>
  <si>
    <t>Contractual; Requesting $5,523 for 2 Officers</t>
  </si>
  <si>
    <t>Contractual; Requesting $12,720 inc &amp; $12,187 - 2 new Officers</t>
  </si>
  <si>
    <t>DEPARTMENT</t>
  </si>
  <si>
    <t>Cell</t>
  </si>
  <si>
    <t>TRFR TO POL/FIR SP IDEMNITY LEAVE (090)</t>
  </si>
  <si>
    <t>TRFR TO COMP ABSENSES (089)</t>
  </si>
  <si>
    <t>TRFR TO UNEMPLOYMENT FUND (088)</t>
  </si>
  <si>
    <t>TRANSFER TO SPECIAL REVENUE FUNDS</t>
  </si>
  <si>
    <t>Balance as of 12/31/18 - $44,238.53</t>
  </si>
  <si>
    <t>Balance as of 12/31/18 - $109,067.90;  Requesting $40,000</t>
  </si>
  <si>
    <t>Balance as of 12/31/18 - $52,616.27</t>
  </si>
  <si>
    <t>PEG  PROF SRVS - BOXFORD CABLE ACCESS</t>
  </si>
  <si>
    <t>Requesting additional $4,000</t>
  </si>
  <si>
    <t>TWN FACILITY MANAGEMENT SERVICES</t>
  </si>
  <si>
    <t>TWN COMPUTER-MUNIS SOFTWARE</t>
  </si>
  <si>
    <t xml:space="preserve">TWN COMPUTER-OTHER CONTRACTS          </t>
  </si>
  <si>
    <t>TWN COMPUTER-IT SERVICES</t>
  </si>
  <si>
    <t xml:space="preserve">TWN COMPUTER EQUIPMENT </t>
  </si>
  <si>
    <t xml:space="preserve">TWN OTHER EQUIPMENT / FURNISHINGS                     </t>
  </si>
  <si>
    <t>Requesting $60,000; BOS Worksession 1/10/19</t>
  </si>
  <si>
    <t>Requesting $50,000; BOS Worksession 1/10/19</t>
  </si>
  <si>
    <t>Requesting $5,000; BOS Worksession 1/10/19</t>
  </si>
  <si>
    <t>Based Budget voted</t>
  </si>
  <si>
    <t xml:space="preserve"> </t>
  </si>
  <si>
    <t>Contractual; Requesting add'l $28,000 (total $44,000)</t>
  </si>
  <si>
    <t xml:space="preserve">Contractual </t>
  </si>
  <si>
    <t>Contractual / Est.; Requesting add'l $16,000 (total $44,000)</t>
  </si>
  <si>
    <t>Transfers Out of General Fund to Other Fund</t>
  </si>
  <si>
    <t>Transfer Out</t>
  </si>
  <si>
    <t xml:space="preserve">POL PR UNIFORM ALLOWANCE             </t>
  </si>
  <si>
    <t>FIR PR UNIFORM ALLOWANCE</t>
  </si>
  <si>
    <t xml:space="preserve">P&amp;C WAGE UNIFORM ALLOWANCE                      </t>
  </si>
  <si>
    <t>INS  SOFTWARE-PERMITLINK AGREEMENT</t>
  </si>
  <si>
    <t xml:space="preserve">PEG PART TIME WAGES               </t>
  </si>
  <si>
    <t>FY21</t>
  </si>
  <si>
    <t>SEL SAL SEVERANCE</t>
  </si>
  <si>
    <t>SEL WAGE WEBSITE STIPEND</t>
  </si>
  <si>
    <t xml:space="preserve">ACT COMPUTER/PRINTER EXP                                       </t>
  </si>
  <si>
    <t>TWN CUSTODIAL SUPPLIES</t>
  </si>
  <si>
    <t>TWN COMPUTER-COMPUTER CONTRACT</t>
  </si>
  <si>
    <t xml:space="preserve">PBD  DEFICIT IN 53G ACCOUNT          </t>
  </si>
  <si>
    <t xml:space="preserve">POL PR RESERVE INCENTIVE          </t>
  </si>
  <si>
    <t xml:space="preserve">POL NATURAL GAS  </t>
  </si>
  <si>
    <t xml:space="preserve">FIR NATURAL GAS                           </t>
  </si>
  <si>
    <t xml:space="preserve">FIR VEHICLE EQUIPMENT             </t>
  </si>
  <si>
    <t xml:space="preserve">FIR OFFICE EQUIPMENT         </t>
  </si>
  <si>
    <t>FIR MISCELLANEOUS EQUIPMENT</t>
  </si>
  <si>
    <t>FIR CAP - PROTECTIVE EQUIPMENT</t>
  </si>
  <si>
    <t xml:space="preserve">FIR CAP - RADIO REPEATERS         </t>
  </si>
  <si>
    <t>FIR OFFICE SUPPLIES &amp; EQUIP</t>
  </si>
  <si>
    <t>FIR VEHICLE SUPPLIES &amp; EQUIP</t>
  </si>
  <si>
    <t>FIR MEDICAL SUPPLIES &amp; EQUIP</t>
  </si>
  <si>
    <t>FIR MISCELLANEOUS SUPPLIES &amp; EQUIP</t>
  </si>
  <si>
    <t xml:space="preserve">TRW  DUES, PUBL &amp; MMBRSHPS      </t>
  </si>
  <si>
    <t xml:space="preserve">HWY NATURAL GAS                          </t>
  </si>
  <si>
    <t xml:space="preserve">HWY  MED EXAM/DRUG TESTING                  </t>
  </si>
  <si>
    <t xml:space="preserve">HWY CAP - ROAD/BRIDGE/SIDEWALK          </t>
  </si>
  <si>
    <t>HWY  OFFICE EQUIPMENT</t>
  </si>
  <si>
    <t xml:space="preserve">HWY  OFFICE SUPPLIES   </t>
  </si>
  <si>
    <t xml:space="preserve">P&amp;C  NATURAL GAS                </t>
  </si>
  <si>
    <t>P&amp;C  FIRE ALARM MONITOR</t>
  </si>
  <si>
    <t>COA  VEHICLE MAINT</t>
  </si>
  <si>
    <t xml:space="preserve">VET  DUES, PUBL &amp; MMBRSHPS                          </t>
  </si>
  <si>
    <t xml:space="preserve">VET  MISCELLANEOUS SUPPLIES               </t>
  </si>
  <si>
    <t xml:space="preserve">LIB  ELECTRICITY          </t>
  </si>
  <si>
    <t xml:space="preserve">LIB  NATURAL GAS                 </t>
  </si>
  <si>
    <t>LIB  WATER</t>
  </si>
  <si>
    <t xml:space="preserve">LIB  ANTICIPATED MAINT &amp; REPAIR </t>
  </si>
  <si>
    <t xml:space="preserve">LIB  UNANTICIPATED MAINT &amp; REPAIR </t>
  </si>
  <si>
    <t xml:space="preserve">HCM  POSTAGE                       </t>
  </si>
  <si>
    <t xml:space="preserve">M&amp;V  RENTAL OF EQUIPMENT           </t>
  </si>
  <si>
    <t>M&amp;V  SERVICES</t>
  </si>
  <si>
    <t xml:space="preserve">M&amp;V  POSTAGE                       </t>
  </si>
  <si>
    <t xml:space="preserve">M&amp;V  MARCHING BAND-MEMORIAL DAY    </t>
  </si>
  <si>
    <t xml:space="preserve">M&amp;V  MARCHING BAND VETERAN'S DAY   </t>
  </si>
  <si>
    <t xml:space="preserve">M&amp;V  MISC SUPPLIES                 </t>
  </si>
  <si>
    <t>L/T PRINCIPAL - G.O. BOND FY20</t>
  </si>
  <si>
    <t>L/T PRINCIPAL - G.O. BOND 2019</t>
  </si>
  <si>
    <t>L/T INTEREST - G.O. BOND 2019</t>
  </si>
  <si>
    <t>L/T INTEREST - G.O. BOND FY20</t>
  </si>
  <si>
    <t xml:space="preserve">ASMT  SPECIAL EDUCATION              </t>
  </si>
  <si>
    <t>TRFR TO TRI-TOWN SCHOOL BUDGET</t>
  </si>
  <si>
    <t xml:space="preserve"> Personnel By-Laws - FY21 Grade 7 / Step 8 </t>
  </si>
  <si>
    <t xml:space="preserve"> Personnel By-Laws - FY21 Grade 6 / Step 11 </t>
  </si>
  <si>
    <t xml:space="preserve"> Personnel By-Laws - FY21 Grade 5 / Step 8</t>
  </si>
  <si>
    <t xml:space="preserve"> Personnel By-Laws - FY21 Grade 5 / Step 7</t>
  </si>
  <si>
    <t xml:space="preserve"> Personnel By-Laws - FY21 Grade 6 / Step 11</t>
  </si>
  <si>
    <t xml:space="preserve"> Personnel By-Laws - FY21 Grade 3 / Step 10</t>
  </si>
  <si>
    <t xml:space="preserve"> Personnel By-Laws - FY21 Grade 10 / Step 8</t>
  </si>
  <si>
    <t xml:space="preserve"> Personnel By-Laws - FY21 Grade 6 / Step 7</t>
  </si>
  <si>
    <t xml:space="preserve"> Personnel By-Laws - FY21 Grade 9 / Step 6 </t>
  </si>
  <si>
    <t xml:space="preserve"> Personnel By-Laws - FY21 Grade 6 / Step 6</t>
  </si>
  <si>
    <t xml:space="preserve"> Personnel By-Laws - FY21 Grade 8 / Step 5</t>
  </si>
  <si>
    <t xml:space="preserve"> Personnel By-Laws - FY21 Grade 5 / Step 6</t>
  </si>
  <si>
    <t xml:space="preserve"> Personnel By-Laws - FY21 Grade 7 / Step 7</t>
  </si>
  <si>
    <t xml:space="preserve"> Personnel By-Laws - FY21 Grade 5 / Step 11 </t>
  </si>
  <si>
    <t xml:space="preserve"> Personnel By-Laws - FY21 Grade 9 / Step 8</t>
  </si>
  <si>
    <t>TRFR TO SCHOOL (FUND 003)</t>
  </si>
  <si>
    <t xml:space="preserve">TOTAL INSPECTIONAL SERVICES:  </t>
  </si>
  <si>
    <t>INSPECTIONAL SERVICES</t>
  </si>
  <si>
    <t xml:space="preserve">P&amp;C  UNIFORM EXPENSE         </t>
  </si>
  <si>
    <t>FIR MED EXAM</t>
  </si>
  <si>
    <t xml:space="preserve"> Personnel By-Laws - FY21 Grade 7 / Step 6</t>
  </si>
  <si>
    <t>Requesting additional $3,700</t>
  </si>
  <si>
    <t>Requesting additional $2,678</t>
  </si>
  <si>
    <t>Requesting additional $150</t>
  </si>
  <si>
    <t>Requesting additional $242</t>
  </si>
  <si>
    <t>Requesting additional $1,238.00</t>
  </si>
  <si>
    <t>Contractual - Town Adminstrator dated 12/9/19 - 6/30/22</t>
  </si>
  <si>
    <t>Old Highway Garage</t>
  </si>
  <si>
    <t>Requesting additional $3,062</t>
  </si>
  <si>
    <t>Requesting additional $1,959</t>
  </si>
  <si>
    <t>INCREASE/DECREASE IN FIXED CHARGES INCLUDED - $140,858</t>
  </si>
  <si>
    <t>INCREASE/DECREASE IN FIXED CHARGES INCLUDED - $9,400</t>
  </si>
  <si>
    <t>Personnel By-Laws - FY21 Grade 7 / Step 7</t>
  </si>
  <si>
    <t>Requesting additional $221</t>
  </si>
  <si>
    <t>Requesting additional $350</t>
  </si>
  <si>
    <t>Requesting additional $400</t>
  </si>
  <si>
    <t>Requesting additional $2,925</t>
  </si>
  <si>
    <t>Requesting additional $380</t>
  </si>
  <si>
    <t>Requesting additional $35</t>
  </si>
  <si>
    <t>Requesting $5,000</t>
  </si>
  <si>
    <t>Requesting  additional $225</t>
  </si>
  <si>
    <t>Requesting  additional $2,357</t>
  </si>
  <si>
    <t>Requesting  additional $9,606</t>
  </si>
  <si>
    <t>LIB  COMPUTER EXPENSES</t>
  </si>
  <si>
    <t>Requesting Additional $4,039</t>
  </si>
  <si>
    <t>MOVED FROM WAGES TO SALARY</t>
  </si>
  <si>
    <t>Capt Haywood</t>
  </si>
  <si>
    <t>Contractual; MOVED FROM WAGES TO SALARY</t>
  </si>
  <si>
    <t>Requesting Additional $500</t>
  </si>
  <si>
    <t>Requesting Additional $100</t>
  </si>
  <si>
    <t>Combine like accounts; Requesting additonal $1,000</t>
  </si>
  <si>
    <t>Requesting Additional $5,000</t>
  </si>
  <si>
    <t>Requesting $1,000</t>
  </si>
  <si>
    <t>FIR PERSONNEL/UNIFORM EXP</t>
  </si>
  <si>
    <t>Various Personnel By-Law Positions</t>
  </si>
  <si>
    <t>Requesting Additional $31</t>
  </si>
  <si>
    <t>Appropriated</t>
  </si>
  <si>
    <t>Level Funded</t>
  </si>
  <si>
    <t>Includes 1 Level funded AFSCME &amp; 1 employee Grade 4 / Step 5</t>
  </si>
  <si>
    <t>Includes clothing allowance for Add'l union member</t>
  </si>
  <si>
    <t>Requesting Additional $10,000</t>
  </si>
  <si>
    <t>Requesting Additional $2,280</t>
  </si>
  <si>
    <t>Requesting Additional $1,371</t>
  </si>
  <si>
    <t>Indirect Personnel Costs</t>
  </si>
  <si>
    <t>COST</t>
  </si>
  <si>
    <t>Combine like accounts per Town Accountant</t>
  </si>
  <si>
    <t>Level funded; increase based on anticipated promotions/certs</t>
  </si>
  <si>
    <t>Level funded; increase based on current roster</t>
  </si>
  <si>
    <t xml:space="preserve">SEL DUES, PUB &amp; MMBRSHPS                       </t>
  </si>
  <si>
    <t>Requesting Additional $1,300</t>
  </si>
  <si>
    <t xml:space="preserve">Listed below are Other Expense line items that exceed the Guidelines set forth by the Finance Committee.  Other than Debt and Unclassified Accounts, these items are level funded within the detailed budget and the amount that exceeds the guidelines is included on this list.  
Also included are line items that are not currently included in the Omnibus Budget (e.g. all-inclusive budget; comprising of all town departments).  They consists of departmental requests that have been determined to be essential to the operation of a particular department and unfunded.  All requests that represent a change in the payroll &amp; staffing structure of a department are automatically included on this list for consideration. </t>
  </si>
  <si>
    <t>Level funded at FY20 rates; contractual based on current roaster</t>
  </si>
  <si>
    <t>Includes Chief $1,000, Capt $1,400, Pol $15,400, Rsrvs $4,200</t>
  </si>
  <si>
    <t>Includes Capt $1,750, Pol $6,500, Rrvs $2,375 &amp; ByLaws $0</t>
  </si>
  <si>
    <t>Decrease transferred to Pol Wages</t>
  </si>
  <si>
    <t>Trfr of funds from Rsrv Night Diff to Pol Night Diff</t>
  </si>
  <si>
    <t>Increase Snow &amp; Ice by $2,285</t>
  </si>
  <si>
    <t xml:space="preserve"> Personnel By-Laws - FY21 Grade 10 / Step 3</t>
  </si>
  <si>
    <t>SEL MISCELLANEOUS EXPENSE</t>
  </si>
  <si>
    <t>SSP  TRAVEL/TRAINING/CONF</t>
  </si>
  <si>
    <t>SEL TRAVEL/TRAINING/CONF</t>
  </si>
  <si>
    <t>Requesting additional $7,000</t>
  </si>
  <si>
    <t xml:space="preserve">TOTAL:  </t>
  </si>
  <si>
    <t xml:space="preserve">Subtotal:  </t>
  </si>
  <si>
    <t>Funded every 2 years</t>
  </si>
  <si>
    <t>State House Note for money held by MSBA until final audit</t>
  </si>
  <si>
    <t>Debt</t>
  </si>
  <si>
    <t>Trfr Out</t>
  </si>
  <si>
    <t>Requesting Additional $12,215</t>
  </si>
  <si>
    <t>Requesting Additional $1,900</t>
  </si>
  <si>
    <t>2-Firearms Instr, 2-Detect, 2-Court Offr-Requesting Add'l $900</t>
  </si>
  <si>
    <t>Requesting Additional $8,450</t>
  </si>
  <si>
    <t>Retirement Assessment</t>
  </si>
  <si>
    <t>Other; Unclassified</t>
  </si>
  <si>
    <t>Other Insurance</t>
  </si>
  <si>
    <t>Insurance &amp; Other Emp Benefits</t>
  </si>
  <si>
    <t>Education</t>
  </si>
  <si>
    <t>Tritown School Union</t>
  </si>
  <si>
    <t xml:space="preserve">Masco </t>
  </si>
  <si>
    <t>Masco Debt</t>
  </si>
  <si>
    <t>Essex Tech</t>
  </si>
  <si>
    <t>CCM  WAGE SR ADMINISTRATIVE ASSISTANT</t>
  </si>
  <si>
    <t xml:space="preserve">B0H  WAGES SR ADMINISTRATIVE ASSISTANT  </t>
  </si>
  <si>
    <t xml:space="preserve"> Personnel By-Laws - FY21 Grade 7 / Step 8</t>
  </si>
  <si>
    <t xml:space="preserve"> Personnel By-Laws - FY21 Grade 5 / Step 5</t>
  </si>
  <si>
    <t>TRANSFERS FUNDED THROUGH RAISE &amp; APPROPRIATE</t>
  </si>
  <si>
    <t>VOTED</t>
  </si>
  <si>
    <t>TRANSFERS</t>
  </si>
  <si>
    <t xml:space="preserve">TOTAL TRANSFERS:  </t>
  </si>
  <si>
    <t>Requesting Additional $34,000</t>
  </si>
  <si>
    <t>Funds are Transfered to Special Revenue Fund</t>
  </si>
  <si>
    <t xml:space="preserve">INS  WAGE ALT INSP OF BUILDINGS      </t>
  </si>
  <si>
    <t>FY21 Grade 6 / Step 7; Requesting Additional $9,341</t>
  </si>
  <si>
    <t>Personnel By-Laws - FY21 G5/S10; Requesting additional $1,482</t>
  </si>
  <si>
    <t>FY21 Grade 6/Step 9; Requestg Add'l $6,576 (4 hours)</t>
  </si>
  <si>
    <t>FY21 Gr4/St7; Requesting Add'l $3,602 (3 hrs);inc 24 hrs vaca coverage</t>
  </si>
  <si>
    <t>FY21 Gr5/Step9-6 hrs &amp; Gr5/Step7-9 hrs; Requesting add'l $5,459</t>
  </si>
  <si>
    <t xml:space="preserve"> Personnel By-Laws - FY21 G5/S10; Requesting additional $2,963</t>
  </si>
  <si>
    <t xml:space="preserve"> Personnel By-Laws - FY21 G2/S10 &amp; G2/S5; Title III Grant offset</t>
  </si>
  <si>
    <t xml:space="preserve">HCM  MISC EXPENSES         </t>
  </si>
  <si>
    <t>FY21 Gr 5/St10; Hrs temp. inc. from 24 to 32 due to restructuring.</t>
  </si>
  <si>
    <t>FY21 Grade 3/Step 11; Requesting Additional $1048</t>
  </si>
  <si>
    <t>Requesting additional $1,077</t>
  </si>
  <si>
    <t>INCREASE/DECREASE IN FIXED CHARGES INCLUDED - $185</t>
  </si>
  <si>
    <t>INCREASE/DECREASE IN FIXED CHARGES INCLUDED - $3,470</t>
  </si>
  <si>
    <t>Requesting Add'l $40,000; Funds are Transfered to Sp Rev Fund</t>
  </si>
  <si>
    <t>TA / BOS BUDGET</t>
  </si>
  <si>
    <t>Final; letter dated 04/17/20</t>
  </si>
  <si>
    <t>Final</t>
  </si>
  <si>
    <t xml:space="preserve">POL  WAGE HOLIDAY PAY           </t>
  </si>
  <si>
    <t>Final; voted by SC 04/28/20</t>
  </si>
  <si>
    <t>Current Chief retiring April, 2020; New Chief hired 04/2020</t>
  </si>
  <si>
    <t>Requesting Additional $65,000; changed to $62,000</t>
  </si>
  <si>
    <t>FY21 Gr8/St11; Funded @ 18hrs due to retiremt;(prior yrs 30 hrs)</t>
  </si>
  <si>
    <t>04.30.20</t>
  </si>
  <si>
    <t>FCM</t>
  </si>
  <si>
    <t>Town</t>
  </si>
  <si>
    <t>All Schools</t>
  </si>
  <si>
    <t>Adjustment to show Unclassified (fringe benefits) as part of Tri-Town School:</t>
  </si>
  <si>
    <t>Estimated Town's Share</t>
  </si>
  <si>
    <t>Estimated Tri-Town's Share</t>
  </si>
  <si>
    <t>INITIAL VOTE</t>
  </si>
  <si>
    <t>Please note that Tri-Town School Union's Employee Benefits (i.e. Health, Life, Worker's Comp, Unemployment) and Property Insurances are paid through the Town's General Fund.</t>
  </si>
  <si>
    <t>$15,000 funded through article #14</t>
  </si>
  <si>
    <t>BOH  VACCINE EXPENSE</t>
  </si>
  <si>
    <t>FY22</t>
  </si>
  <si>
    <t>TRS COMPUTER / PRINTER</t>
  </si>
  <si>
    <t>POL CAP - TELEPHONE SYSTEM</t>
  </si>
  <si>
    <t>HWY MISC EXPENSE</t>
  </si>
  <si>
    <t>HWY  CAPITAL EQUIPMENT</t>
  </si>
  <si>
    <t>COA  PHONE/COMMUNICATION</t>
  </si>
  <si>
    <t>ASR PHONE/COMMUNICATION</t>
  </si>
  <si>
    <t>TRS IRS FEES &amp; PENALTIES</t>
  </si>
  <si>
    <t xml:space="preserve">BOH  MEDICAL SHARPS PICKUP/DISPOSAL        </t>
  </si>
  <si>
    <t xml:space="preserve">BOH  DEAD ANIMALS PICKUP/DISPOSAL    </t>
  </si>
  <si>
    <t>HWY  SWEEPER</t>
  </si>
  <si>
    <t>HWY  FIRE ALARM</t>
  </si>
  <si>
    <t>Contractual - Fire Chief dated 7/1/20 - 6/30/23</t>
  </si>
  <si>
    <t>Contractual - Police Chief dated 4/30/20 - 6/30/23</t>
  </si>
  <si>
    <t>Contractual - Police Captain dated 7/1/19 - 6/30/22</t>
  </si>
  <si>
    <t>MOVED TO LANDFILL</t>
  </si>
  <si>
    <t>Re-align of accounts; net = 0</t>
  </si>
  <si>
    <t>Combining Accounts</t>
  </si>
  <si>
    <t>MOVED FROM TWN-COMPUTER CONTRACT; Budget Impact=0</t>
  </si>
  <si>
    <t>MOVE $7600 ASR-PATRIOT/$2k CLK-FOIA DIRECT/$3250 CIVIC PLUS</t>
  </si>
  <si>
    <t>REQUESTING ADD'L $2,000</t>
  </si>
  <si>
    <t xml:space="preserve">LIB  SAL REF LIB / ASST DIRECTOR          </t>
  </si>
  <si>
    <t>Ref Lib/Asst Dir Retired in FY21</t>
  </si>
  <si>
    <t>BUDGET DECREASE  OF $12,000 DUE TO FY21 ONE-TIME COST</t>
  </si>
  <si>
    <t>ASR PROF SRVS - PATRIOT PROPERTIES</t>
  </si>
  <si>
    <t>CONTRACTUAL; BASED ON ACTUALS</t>
  </si>
  <si>
    <t>Represents 1 local election</t>
  </si>
  <si>
    <t>CLK  CONTRACTS/SERVICES</t>
  </si>
  <si>
    <t>REQUESTING ADD'L $5,000</t>
  </si>
  <si>
    <t>Represents 1 local election &amp; change in min wage to $13.50</t>
  </si>
  <si>
    <t>Contract 7/1/13 - 6/30/23</t>
  </si>
  <si>
    <t>REQUESTING ADD'L $6,000</t>
  </si>
  <si>
    <t>$5,400 SAVINGS-NEW PHONES; MOVE $2600 TO PEG-VERIZON FIOS</t>
  </si>
  <si>
    <t>PARK &amp; CEMETERY</t>
  </si>
  <si>
    <t>The Police Department wages section represents several line item changes as an attempt to budget based on actual numbers. Please note that the bottom line shows a reduction in the overall cost of Police - Wages.</t>
  </si>
  <si>
    <t>REQUESTING ADD'L $1,081</t>
  </si>
  <si>
    <t>DEPT</t>
  </si>
  <si>
    <t>TOTAL OMNIBUS</t>
  </si>
  <si>
    <t>FCM Guidelines 2.75%; Budget Rec'd 1/6/21 Inc. $499,740</t>
  </si>
  <si>
    <t>less Schools</t>
  </si>
  <si>
    <t>MOVED FROM TWN-TELE/COMM; Budget Impact=0 (VERIZON FIOS)</t>
  </si>
  <si>
    <t>PEG  SYSTEM MAINT - "CASTUS" live stream</t>
  </si>
  <si>
    <t>REQUESTING ADD'L $2,925</t>
  </si>
  <si>
    <t xml:space="preserve">Town is looking to contribute to Holiday on the Green; </t>
  </si>
  <si>
    <t>Request is on the Above Guidelines</t>
  </si>
  <si>
    <t>ABOVE GUIDELINES</t>
  </si>
  <si>
    <t>Town Budget</t>
  </si>
  <si>
    <t xml:space="preserve">TRW  WAGE OVERTIME                      </t>
  </si>
  <si>
    <t>FINAL FY21 ASSESSMENT 361,812; less $2,686</t>
  </si>
  <si>
    <t>POL  WAGE PRISIONER WATCH ATTENDANT</t>
  </si>
  <si>
    <t>PARK &amp; CEMETERY SALARY &amp; WAGES:</t>
  </si>
  <si>
    <t>PARK &amp; CEMETERY EXPENSES:</t>
  </si>
  <si>
    <t xml:space="preserve">TOTAL PARK &amp; CEMETERY:  </t>
  </si>
  <si>
    <t>MOVED FROM PARK &amp; CEMETERY</t>
  </si>
  <si>
    <t xml:space="preserve">P&amp;C  WAGE CLERICAL </t>
  </si>
  <si>
    <t>TA / SEL BUDGET</t>
  </si>
  <si>
    <t>TA / SEL</t>
  </si>
  <si>
    <t>Body Radios; Vehicle radios requested through FC</t>
  </si>
  <si>
    <t>COA  FIRE EXTINGUISHER INSPECT/MAINT</t>
  </si>
  <si>
    <r>
      <t xml:space="preserve">FCM GUIDELINE - 3%; </t>
    </r>
    <r>
      <rPr>
        <sz val="8"/>
        <color rgb="FFFF0000"/>
        <rFont val="Calibri"/>
        <family val="2"/>
        <scheme val="minor"/>
      </rPr>
      <t>FCM BUDGET BASED ON 3/1/21 DOC (+8.3%)</t>
    </r>
  </si>
  <si>
    <t>Diff b/t TA &amp; FCM</t>
  </si>
  <si>
    <t>SECONDED BY</t>
  </si>
  <si>
    <t xml:space="preserve">ASR PROF SRVS - ATB / CONSULTING     </t>
  </si>
  <si>
    <t>PEG  LEGAL SERVICES</t>
  </si>
  <si>
    <t>PEG  PROF SRVS-CIVC PLUS</t>
  </si>
  <si>
    <t xml:space="preserve">FIR PROF SRVS-AMBULANCE BILLING                                                           </t>
  </si>
  <si>
    <t>TOTAL BUDGET</t>
  </si>
  <si>
    <t>Elementary</t>
  </si>
  <si>
    <t>at 2.75% Guideline</t>
  </si>
  <si>
    <t>Double Check</t>
  </si>
  <si>
    <t>BUDGET ANALYSIS</t>
  </si>
  <si>
    <t>In Process</t>
  </si>
  <si>
    <t>FINAL BUDGET W/GUIDELINES INCLUDED</t>
  </si>
  <si>
    <t>Town Budget ONLY</t>
  </si>
  <si>
    <t>MOTION 
BY</t>
  </si>
  <si>
    <t>TO BE DETERMINED</t>
  </si>
  <si>
    <t>WITHDRAWN</t>
  </si>
  <si>
    <t>ACCOUNTANT'S VOTE TRACKER OF FCM DECISIONS</t>
  </si>
  <si>
    <t>SELECT BOARD DEPARTMENT</t>
  </si>
  <si>
    <t xml:space="preserve">SEL SAL SELECT BOARD </t>
  </si>
  <si>
    <t>SELECT BOARD SALARY &amp; WAGES:</t>
  </si>
  <si>
    <t>SELECT BOARD EXPENSES:</t>
  </si>
  <si>
    <t xml:space="preserve">TOTAL SELECT BOARD DEPARTMENT:  </t>
  </si>
  <si>
    <t>SELECT BOARD SPECIAL</t>
  </si>
  <si>
    <t>SPECIAL SELECT BOARD EXPENSES</t>
  </si>
  <si>
    <t xml:space="preserve">TOTAL SELECT BOARD SPECIAL:  </t>
  </si>
  <si>
    <r>
      <rPr>
        <strike/>
        <sz val="8"/>
        <color rgb="FFFF0000"/>
        <rFont val="Calibri"/>
        <family val="2"/>
        <scheme val="minor"/>
      </rPr>
      <t>REQUESTING ADD'L $10,000</t>
    </r>
    <r>
      <rPr>
        <sz val="8"/>
        <color rgb="FFFF0000"/>
        <rFont val="Calibri"/>
        <family val="2"/>
        <scheme val="minor"/>
      </rPr>
      <t>; ADD'L $5,000 INCLUDED</t>
    </r>
  </si>
  <si>
    <r>
      <rPr>
        <strike/>
        <sz val="8"/>
        <color rgb="FFFF0000"/>
        <rFont val="Calibri"/>
        <family val="2"/>
        <scheme val="minor"/>
      </rPr>
      <t>REQUESTING ADD'L $5,000</t>
    </r>
    <r>
      <rPr>
        <sz val="8"/>
        <color rgb="FFFF0000"/>
        <rFont val="Calibri"/>
        <family val="2"/>
        <scheme val="minor"/>
      </rPr>
      <t>; ADD'L $4,000 INCLUDED</t>
    </r>
  </si>
  <si>
    <r>
      <rPr>
        <strike/>
        <sz val="8"/>
        <color rgb="FFFF0000"/>
        <rFont val="Calibri"/>
        <family val="2"/>
        <scheme val="minor"/>
      </rPr>
      <t>REQUESTING ADD'L $10,000</t>
    </r>
    <r>
      <rPr>
        <sz val="8"/>
        <color rgb="FFFF0000"/>
        <rFont val="Calibri"/>
        <family val="2"/>
        <scheme val="minor"/>
      </rPr>
      <t>; ADD'L $9,000 INCLUDED</t>
    </r>
  </si>
  <si>
    <t>ADD'L $1,504 INCLUDED</t>
  </si>
  <si>
    <t>ADD'L $690 INCLUDED</t>
  </si>
  <si>
    <r>
      <t>TRFR IN; Budget Impact=0 /</t>
    </r>
    <r>
      <rPr>
        <b/>
        <sz val="8"/>
        <color rgb="FFFF0000"/>
        <rFont val="Calibri"/>
        <family val="2"/>
        <scheme val="minor"/>
      </rPr>
      <t xml:space="preserve"> ADD'L $4772 (4items) INCLUDED</t>
    </r>
  </si>
  <si>
    <r>
      <t xml:space="preserve">Combining Accounts; </t>
    </r>
    <r>
      <rPr>
        <sz val="8"/>
        <color rgb="FFFF0000"/>
        <rFont val="Calibri"/>
        <family val="2"/>
        <scheme val="minor"/>
      </rPr>
      <t>ADD'L $10,000 INCLUDED</t>
    </r>
  </si>
  <si>
    <t>ADD'L $13,500 INCLUDED</t>
  </si>
  <si>
    <t>ADD'L $10,000 INCLUDED</t>
  </si>
  <si>
    <t>ADD'L $3,896 INCLUDED</t>
  </si>
  <si>
    <t>ADD'L $3,000 INCLUDED</t>
  </si>
  <si>
    <t>ADD'L $2,700 INCLUDED</t>
  </si>
  <si>
    <t>ADD'L $5,040 INCLUDED</t>
  </si>
  <si>
    <t>ADD'L $1,750 INCLUDED</t>
  </si>
  <si>
    <t>ADD'L $194 INCLUDED</t>
  </si>
  <si>
    <t>ADD'L $1,769 INCLUDED</t>
  </si>
  <si>
    <t>ADD'L $124 INCLUDED</t>
  </si>
  <si>
    <t>ADD'L $198 INCLUDED</t>
  </si>
  <si>
    <t>ADD'L $20,000 INCLUDED</t>
  </si>
  <si>
    <r>
      <rPr>
        <strike/>
        <sz val="8"/>
        <color rgb="FFFF0000"/>
        <rFont val="Calibri"/>
        <family val="2"/>
        <scheme val="minor"/>
      </rPr>
      <t>REQUESTING ADD'L $60,000</t>
    </r>
    <r>
      <rPr>
        <sz val="8"/>
        <color rgb="FFFF0000"/>
        <rFont val="Calibri"/>
        <family val="2"/>
        <scheme val="minor"/>
      </rPr>
      <t>; $100K BEING REQUESTED FROM FC</t>
    </r>
  </si>
  <si>
    <r>
      <rPr>
        <strike/>
        <sz val="8"/>
        <color rgb="FFFF0000"/>
        <rFont val="Calibri"/>
        <family val="2"/>
        <scheme val="minor"/>
      </rPr>
      <t>REQUESTING ADD'L $40,000</t>
    </r>
    <r>
      <rPr>
        <sz val="8"/>
        <color rgb="FFFF0000"/>
        <rFont val="Calibri"/>
        <family val="2"/>
        <scheme val="minor"/>
      </rPr>
      <t>; $80K BEING REQESTED FROM FC</t>
    </r>
  </si>
  <si>
    <t>ADD'L $2,125 INCLUDED</t>
  </si>
  <si>
    <t>RECREATION DEPARTMENT</t>
  </si>
  <si>
    <t>RECREATION SALARY &amp; WAGES:</t>
  </si>
  <si>
    <t>RECREATION EXPENSES:</t>
  </si>
  <si>
    <t xml:space="preserve">TOTAL RECREATION DEPARTMENT:  </t>
  </si>
  <si>
    <t>REC OFFICE SUPPLIES</t>
  </si>
  <si>
    <t>REC POSTAGE</t>
  </si>
  <si>
    <t>REC MISC EXP</t>
  </si>
  <si>
    <t>REC DIRECTOR (19hrs)</t>
  </si>
  <si>
    <t>REC EQUIPMENT</t>
  </si>
  <si>
    <t xml:space="preserve">REC DUES, PUBL &amp; MMBRSHPS                          </t>
  </si>
  <si>
    <t>ADD'L $200 INCLUDED</t>
  </si>
  <si>
    <t>ADD'L $500 INCLUDED</t>
  </si>
  <si>
    <t>ADD'L $400 INCLUDED</t>
  </si>
  <si>
    <t>ADD'L $31,103 INCLUDED</t>
  </si>
  <si>
    <t>FY23</t>
  </si>
  <si>
    <t>EXPENSES
YTD 12/31/21</t>
  </si>
  <si>
    <t>EXPENSES
YTD 12/31/22</t>
  </si>
  <si>
    <t>ASR DEEDS</t>
  </si>
  <si>
    <t xml:space="preserve">POL COPIER EXPENSE              </t>
  </si>
  <si>
    <t xml:space="preserve">HWY  SOFTWARE LICENCES                 </t>
  </si>
  <si>
    <t xml:space="preserve">ATM CHANGES (+ / -):  </t>
  </si>
  <si>
    <t>Less Elementary School</t>
  </si>
  <si>
    <t>Less MASCO</t>
  </si>
  <si>
    <t>Less Essex Tech</t>
  </si>
  <si>
    <t>Double Check:</t>
  </si>
  <si>
    <t>BUDGET SUMMARY</t>
  </si>
  <si>
    <t xml:space="preserve">Town Only </t>
  </si>
  <si>
    <t>FINAL POSTED BUDGET</t>
  </si>
  <si>
    <t>Less SCHOOLS</t>
  </si>
  <si>
    <t>TOWN BUDGET</t>
  </si>
  <si>
    <t>FY21 EXPENSES</t>
  </si>
  <si>
    <t>FY18 EXPENSES</t>
  </si>
  <si>
    <t>TOWN</t>
  </si>
  <si>
    <t>SCHOOL</t>
  </si>
  <si>
    <r>
      <t xml:space="preserve">APPROVED
</t>
    </r>
    <r>
      <rPr>
        <sz val="10"/>
        <color theme="0"/>
        <rFont val="Calibri"/>
        <family val="2"/>
        <scheme val="minor"/>
      </rPr>
      <t>"Vote in affirmative"</t>
    </r>
  </si>
  <si>
    <t>UNCLASSIFED / RETIREMENT</t>
  </si>
  <si>
    <t>UNCLASSIFIED/RETIREMENT:</t>
  </si>
  <si>
    <t xml:space="preserve">TOTAL UNCLASSIFIED / RETIREMENT:   </t>
  </si>
  <si>
    <t>Town of Topsfield - Fiscal Year 2023 Budget</t>
  </si>
  <si>
    <t>double check….</t>
  </si>
  <si>
    <t>over FY22</t>
  </si>
  <si>
    <t>**</t>
  </si>
  <si>
    <t>% of FY23</t>
  </si>
  <si>
    <t>FY21 ACTUAL</t>
  </si>
  <si>
    <t>FY18 ACTUAL</t>
  </si>
  <si>
    <t>FY19 ACTUAL</t>
  </si>
  <si>
    <t>FY20 ACTUAL</t>
  </si>
  <si>
    <t>FY22 APPROP</t>
  </si>
  <si>
    <t>FY23 DEPT</t>
  </si>
  <si>
    <t>FY23 TA/SEL</t>
  </si>
  <si>
    <t>FY23 FCM</t>
  </si>
  <si>
    <t>PROPOSED FY23 BUDGET</t>
  </si>
  <si>
    <t>SEL / TA</t>
  </si>
  <si>
    <t>FY23 
PROPOSED DEPT 
BUDGET</t>
  </si>
  <si>
    <t>Calendar Year Earnings</t>
  </si>
  <si>
    <t>HWY</t>
  </si>
  <si>
    <t>WAT</t>
  </si>
  <si>
    <t>FIRE</t>
  </si>
  <si>
    <t>POL</t>
  </si>
  <si>
    <t>LIB</t>
  </si>
  <si>
    <t>TWN</t>
  </si>
  <si>
    <t>SCH</t>
  </si>
  <si>
    <t xml:space="preserve">2022 ERRS </t>
  </si>
  <si>
    <t>TOPSFIELD</t>
  </si>
  <si>
    <t>RETIREMENT</t>
  </si>
  <si>
    <t xml:space="preserve"> Personnel By-Laws - FY23 Grade 10 / Step 8 (24hr HWY/16hr P&amp;C)</t>
  </si>
  <si>
    <t xml:space="preserve"> Personnel By-Laws - FY23 Grade 3 / Step 10</t>
  </si>
  <si>
    <t>Personnel By-Laws - FY23 Grade 7 / Step 7</t>
  </si>
  <si>
    <t xml:space="preserve"> Personnel By-Laws - FY23 Grade 5 / Step 9 (16hr HWY/19hr P&amp;C)</t>
  </si>
  <si>
    <t xml:space="preserve"> Personnel By-Laws - FY23 Grade 7 / Step 6 </t>
  </si>
  <si>
    <t xml:space="preserve"> Personnel By-Laws - FY23 G2/S10 &amp; G2/S5; Title III Grant offset</t>
  </si>
  <si>
    <t>TOTAL FY23 Budget</t>
  </si>
  <si>
    <r>
      <t>P&amp;C  RECREATION</t>
    </r>
    <r>
      <rPr>
        <sz val="10"/>
        <color rgb="FFFF0000"/>
        <rFont val="Calibri"/>
        <family val="2"/>
        <scheme val="minor"/>
      </rPr>
      <t xml:space="preserve"> FIELDS      </t>
    </r>
    <r>
      <rPr>
        <sz val="10"/>
        <color theme="1"/>
        <rFont val="Calibri"/>
        <family val="2"/>
        <scheme val="minor"/>
      </rPr>
      <t xml:space="preserve"> </t>
    </r>
  </si>
  <si>
    <t>CLK  BYLAW CODIFICATION SOFTWARE</t>
  </si>
  <si>
    <t xml:space="preserve"> Personnel By-Laws - FY22 Grade 7 / Step 8 </t>
  </si>
  <si>
    <t xml:space="preserve"> Personnel By-Laws - FY22 Grade 6 / Step 11</t>
  </si>
  <si>
    <t xml:space="preserve"> Personnel By-Laws - FY22 G3 / S11;   REQUESTING ADD'L $1,081</t>
  </si>
  <si>
    <t xml:space="preserve"> Personnel By-Laws - FY22 Grade 3 / Step 10</t>
  </si>
  <si>
    <t xml:space="preserve"> Personnel By-Laws - FY22 Grade 10 / Step 8</t>
  </si>
  <si>
    <t xml:space="preserve"> Personnel By-Laws - FY22 G6 / S7;    ADD'L $9,397 INCLUDED</t>
  </si>
  <si>
    <t xml:space="preserve"> Personnel By-Laws - FY22 Grade 9 / Step 6 </t>
  </si>
  <si>
    <t xml:space="preserve"> Personnel By-Laws - FY22 Grade 6 / Step 6</t>
  </si>
  <si>
    <t xml:space="preserve"> Personnel By-Laws - FY22 Grade 6 / Step 7</t>
  </si>
  <si>
    <t>Funded every 2 yrs; New Schedule eff: FY22 / Approp in FY22</t>
  </si>
  <si>
    <t xml:space="preserve"> Personnel By-Laws - FY22 Grade 8 / Step 5</t>
  </si>
  <si>
    <t xml:space="preserve"> Personnel By-Laws - FY22 Grade 5 / Step 6 (19 hours)</t>
  </si>
  <si>
    <t>Personnel By-Laws - FY22 Grade 7 / Step 7</t>
  </si>
  <si>
    <t>Personnel By-Laws - FY22 Grade 5 / Step 10</t>
  </si>
  <si>
    <t>Personnel By-Laws - FY22 G6 / S9;  ADD'L $6,668 INCLUDED</t>
  </si>
  <si>
    <t xml:space="preserve"> Personnel By-Laws - FY22 Grade 5 / Step 7 (15 hours)</t>
  </si>
  <si>
    <t xml:space="preserve"> Personnel By-Laws - FY22 G8 / S11; ADD'L $23,587 INCLUDED </t>
  </si>
  <si>
    <t xml:space="preserve"> Personnel By-Laws - FY22 Grade 6 / Step 11 </t>
  </si>
  <si>
    <t xml:space="preserve"> UPDATED: Personnel By-Laws - FY22 Grade 5 / Step 7; 24 hours</t>
  </si>
  <si>
    <t xml:space="preserve"> Personnel By-Laws - FY22 Grade 10 / Step 8 (24hr HWY/16hr P&amp;C)</t>
  </si>
  <si>
    <t xml:space="preserve"> Personnel By-Laws - FY22 Grade 5 / Step 9 (16hr HWY/19hr P&amp;C)</t>
  </si>
  <si>
    <t xml:space="preserve"> Personnel By-Laws - FY22 Grade 7 / Step 6 </t>
  </si>
  <si>
    <t xml:space="preserve"> Personnel By-Laws - FY22 G5 / S10; ADD'L $2,977 INCLUDED</t>
  </si>
  <si>
    <t xml:space="preserve"> Personnel By-Laws - FY22 Grade 7 / Step 6 NEWLY FILLED</t>
  </si>
  <si>
    <t xml:space="preserve"> Personnel By-Laws - FY22 Grade 5 / Step 7</t>
  </si>
  <si>
    <t xml:space="preserve"> Personnel By-Laws - FY22 G2/S10 &amp; G2/S5; Title III Grant offset</t>
  </si>
  <si>
    <t xml:space="preserve"> Personnel By-Laws - FY22 Grade 9 / Step 8</t>
  </si>
  <si>
    <t xml:space="preserve"> Personnel By-Laws - FY22 Grade 7 / Step 2  Vacant Position</t>
  </si>
  <si>
    <t xml:space="preserve"> Personnel By-Laws - FY22 Grade 5 / Step 5</t>
  </si>
  <si>
    <t>Based on Actual FY22 Appropriation Letter w/ July 1 payment</t>
  </si>
  <si>
    <t>Move to Call FF</t>
  </si>
  <si>
    <r>
      <t xml:space="preserve">Contractual; </t>
    </r>
    <r>
      <rPr>
        <sz val="8"/>
        <color rgb="FFFF0000"/>
        <rFont val="Calibri"/>
        <family val="2"/>
        <scheme val="minor"/>
      </rPr>
      <t>Requesting additional $2,800</t>
    </r>
  </si>
  <si>
    <r>
      <t xml:space="preserve">Contractual; </t>
    </r>
    <r>
      <rPr>
        <sz val="8"/>
        <color rgb="FFFF0000"/>
        <rFont val="Calibri"/>
        <family val="2"/>
        <scheme val="minor"/>
      </rPr>
      <t>Requesting additional $135,546</t>
    </r>
  </si>
  <si>
    <t xml:space="preserve"> Personnel By-Laws - FY23 Grade 6 / Step 7 (40 hours)</t>
  </si>
  <si>
    <t xml:space="preserve"> Personnel By-Laws - FY23 Grade 6 / Step 5 (34 hours)  9/13/21</t>
  </si>
  <si>
    <t xml:space="preserve"> Personnel By-Laws - FY23 Grade 6 / Step 7 (36 hours)</t>
  </si>
  <si>
    <t xml:space="preserve"> Personnel By-Laws - FY23 Grade 6 / Step 6 (34 hours)</t>
  </si>
  <si>
    <t>Personnel By-Laws - FY23 Grade 5 / Step 10 (start 1/4/10; 12/8/16)</t>
  </si>
  <si>
    <t>Personnel By-Laws - FY23 Grade 6 / Step 9 (start 6/24/13; 2/25/16)</t>
  </si>
  <si>
    <t xml:space="preserve"> Personnel By-Laws - FY23 Grade 5 / Step 7 (24 hours) 10/19/21</t>
  </si>
  <si>
    <t xml:space="preserve"> Personnel By-Laws - FY23 Grade 5 / Step 7 (15 hours) 7/26/21</t>
  </si>
  <si>
    <t xml:space="preserve"> Personnel By-Laws - FY23 Grade 5 / Step 10; 19 Hours</t>
  </si>
  <si>
    <t>MOVED IN FROM PARK &amp; CEMETERY DEPARTMENT</t>
  </si>
  <si>
    <t>MOVED TO BOARD OF HEALTH BUDGET</t>
  </si>
  <si>
    <t>3 hours/month</t>
  </si>
  <si>
    <t xml:space="preserve"> Personnel By-Laws - FY23 Grade 9 / Step 6 (40 hours) 1/26/22</t>
  </si>
  <si>
    <t xml:space="preserve"> Personnel By-Laws - FY23 Grade 6 / Step 7 (37.5 hours) 12/15/21</t>
  </si>
  <si>
    <t xml:space="preserve"> Personnel By-Laws - FY23 Grade 7 / Step 2 (37.5 Hours) 7/26/21</t>
  </si>
  <si>
    <t xml:space="preserve"> Personnel By-Laws - FY23 Grade 6 / Step 6 (37.5 Hours) 5/1/15</t>
  </si>
  <si>
    <t xml:space="preserve"> Personnel By-Laws - FY23 Grade 5 / Step 5 (37.5 Hours) 6/6/16</t>
  </si>
  <si>
    <t xml:space="preserve"> Personnel By-Laws - FY23 Grade 7 / Step 3 (19 hours) 9/20/21</t>
  </si>
  <si>
    <r>
      <rPr>
        <sz val="8"/>
        <color rgb="FF00B050"/>
        <rFont val="Calibri"/>
        <family val="2"/>
        <scheme val="minor"/>
      </rPr>
      <t>Fixed Charges;</t>
    </r>
    <r>
      <rPr>
        <sz val="8"/>
        <color rgb="FFFF0000"/>
        <rFont val="Calibri"/>
        <family val="2"/>
        <scheme val="minor"/>
      </rPr>
      <t xml:space="preserve"> Requesting additional $115,113</t>
    </r>
  </si>
  <si>
    <r>
      <rPr>
        <sz val="8"/>
        <color rgb="FF00B050"/>
        <rFont val="Calibri"/>
        <family val="2"/>
        <scheme val="minor"/>
      </rPr>
      <t>Fixed Charges;</t>
    </r>
    <r>
      <rPr>
        <sz val="8"/>
        <color rgb="FFFF0000"/>
        <rFont val="Calibri"/>
        <family val="2"/>
        <scheme val="minor"/>
      </rPr>
      <t xml:space="preserve"> Reduction based on actual debt payments due</t>
    </r>
  </si>
  <si>
    <r>
      <rPr>
        <sz val="8"/>
        <color rgb="FF00B050"/>
        <rFont val="Calibri"/>
        <family val="2"/>
        <scheme val="minor"/>
      </rPr>
      <t>Fixed Charges;</t>
    </r>
    <r>
      <rPr>
        <sz val="8"/>
        <color rgb="FFFF0000"/>
        <rFont val="Calibri"/>
        <family val="2"/>
        <scheme val="minor"/>
      </rPr>
      <t xml:space="preserve"> Final Payment FY22</t>
    </r>
  </si>
  <si>
    <r>
      <rPr>
        <sz val="8"/>
        <color rgb="FF00B050"/>
        <rFont val="Calibri"/>
        <family val="2"/>
        <scheme val="minor"/>
      </rPr>
      <t>Fixed Charges;</t>
    </r>
    <r>
      <rPr>
        <sz val="8"/>
        <color rgb="FFFF0000"/>
        <rFont val="Calibri"/>
        <family val="2"/>
        <scheme val="minor"/>
      </rPr>
      <t xml:space="preserve"> Requesting additional $20,000</t>
    </r>
  </si>
  <si>
    <r>
      <rPr>
        <sz val="8"/>
        <color rgb="FF00B050"/>
        <rFont val="Calibri"/>
        <family val="2"/>
        <scheme val="minor"/>
      </rPr>
      <t>Fixed Charges;</t>
    </r>
    <r>
      <rPr>
        <sz val="8"/>
        <color rgb="FFFF0000"/>
        <rFont val="Calibri"/>
        <family val="2"/>
        <scheme val="minor"/>
      </rPr>
      <t xml:space="preserve"> Requesting additional $5,000</t>
    </r>
  </si>
  <si>
    <t>DEBT PRINCIPAL PAYMENTS</t>
  </si>
  <si>
    <t>DEPT INTEREST 
PAYMENTS</t>
  </si>
  <si>
    <t>591*</t>
  </si>
  <si>
    <t>592*</t>
  </si>
  <si>
    <t>595*</t>
  </si>
  <si>
    <t>SHORT TERM 
(TEMPORARY) DEBT</t>
  </si>
  <si>
    <t>ESSEX COUNTY RETIREMENT</t>
  </si>
  <si>
    <t>MIIA HEALTH INSURANCE</t>
  </si>
  <si>
    <t>BOSTON LIFE INSURANCE</t>
  </si>
  <si>
    <t>MEDICARE TAX (1.45%)</t>
  </si>
  <si>
    <t>ADMINISTRATIVE FEES</t>
  </si>
  <si>
    <t>HRS INPATIENT HOSPITAL</t>
  </si>
  <si>
    <t>INSURANCE
WORKMAN'S COMP</t>
  </si>
  <si>
    <t>INSURANCE
SURETY BONDS</t>
  </si>
  <si>
    <t>INSURANCE
ACCIDENT - POLICE/FIRE</t>
  </si>
  <si>
    <t>INSURANCE
PROPERTY LIABILITY</t>
  </si>
  <si>
    <r>
      <rPr>
        <sz val="10"/>
        <rFont val="Calibri"/>
        <family val="2"/>
        <scheme val="minor"/>
      </rPr>
      <t>"OTHER" OVER GUIDELINES</t>
    </r>
    <r>
      <rPr>
        <sz val="10"/>
        <color rgb="FFFFFF00"/>
        <rFont val="Calibri"/>
        <family val="2"/>
        <scheme val="minor"/>
      </rPr>
      <t xml:space="preserve">  
</t>
    </r>
    <r>
      <rPr>
        <b/>
        <i/>
        <sz val="9"/>
        <color rgb="FF92D050"/>
        <rFont val="Calibri"/>
        <family val="2"/>
        <scheme val="minor"/>
      </rPr>
      <t>UNCLASSIFIED/FIXED CHARGES</t>
    </r>
  </si>
  <si>
    <t>Increase is based upon discussion with Larry Tereso (MIIA) regarding potential rate increase estimate of 8.5%; Actual renewal rate is TBD.</t>
  </si>
  <si>
    <t>Requesting add'l $464</t>
  </si>
  <si>
    <t xml:space="preserve">LIBRARY 
UNANTICIPATED MAINT &amp; REPAIR </t>
  </si>
  <si>
    <t>LIBRARY
COMPUTER EXPENSES</t>
  </si>
  <si>
    <t xml:space="preserve">LIBRARY
NETWORK ADMINISTRATION        </t>
  </si>
  <si>
    <t>2% Increase and special projects.</t>
  </si>
  <si>
    <t>TREASURER
GASB 45 ACTUARY STUDY</t>
  </si>
  <si>
    <t>N/A</t>
  </si>
  <si>
    <t xml:space="preserve"> Personnel By-Laws - FY23 Grade 10 / Step 8 (40 hours)</t>
  </si>
  <si>
    <t>Requesting add'l  $8,100</t>
  </si>
  <si>
    <t xml:space="preserve">HWY  TOOL REPLACEMENT              </t>
  </si>
  <si>
    <t>Requesting add'l  $312</t>
  </si>
  <si>
    <t>Requesting add'l  $11,200</t>
  </si>
  <si>
    <t>Re-align accnts</t>
  </si>
  <si>
    <t xml:space="preserve">S&amp;I  DE-ICING / SALT                   </t>
  </si>
  <si>
    <t xml:space="preserve">REF  HAZARDOUS WASTE COLLECTION     </t>
  </si>
  <si>
    <t>PARK &amp; CEMETERY
WAGES - LABORER</t>
  </si>
  <si>
    <t>PARK &amp; CEMETERY
FIELD MAINTENANCE</t>
  </si>
  <si>
    <t xml:space="preserve"> Personnel By-Laws - FY23 Grade 9 / Step 6  (40 hours)</t>
  </si>
  <si>
    <t xml:space="preserve"> Personnel By-Laws - FY23 Grade 8 / Step 5  (40 hours)</t>
  </si>
  <si>
    <t xml:space="preserve"> Personnel By-Laws - FY23 Grade 5 / Step 6  (19 hours)</t>
  </si>
  <si>
    <t>Re-align accnts; Poll Pads, Rec'd Request Software, Dog Lic Software</t>
  </si>
  <si>
    <t>Requesting Add'l $9,669</t>
  </si>
  <si>
    <t>Requesting Add'l $300</t>
  </si>
  <si>
    <t>TOWN CLERK
ELECTION WORKERS</t>
  </si>
  <si>
    <t>TOWN CLERK
BUILDING RENTAL</t>
  </si>
  <si>
    <t>TOWN CLERK
ELECTION EXPENSE</t>
  </si>
  <si>
    <t>EW Start Date 7/11/2006 (15yrs,11m); Longevity = $750 prorated</t>
  </si>
  <si>
    <t>New Contract with North Coastal Environmental = FY22+2%</t>
  </si>
  <si>
    <t>Change account name to "Vent Maintenance"</t>
  </si>
  <si>
    <t>LND  OTHER EXPENSES</t>
  </si>
  <si>
    <t>LND  FLARE MAINT/SUPPLIES</t>
  </si>
  <si>
    <t>LND  CONTR ENGINEER &amp; MONITOR</t>
  </si>
  <si>
    <t>LND  GROUND WATER - PFAS TESTING</t>
  </si>
  <si>
    <t xml:space="preserve">POL  MED EXAM/DRUG TESTING                  </t>
  </si>
  <si>
    <t>POL  CONTR - BWC CLOUD STORAGE</t>
  </si>
  <si>
    <t>Requesting Add'l  $695</t>
  </si>
  <si>
    <r>
      <rPr>
        <i/>
        <sz val="8"/>
        <rFont val="Calibri"/>
        <family val="2"/>
        <scheme val="minor"/>
      </rPr>
      <t>Re-align accounts</t>
    </r>
    <r>
      <rPr>
        <sz val="8"/>
        <rFont val="Calibri"/>
        <family val="2"/>
        <scheme val="minor"/>
      </rPr>
      <t xml:space="preserve">; </t>
    </r>
    <r>
      <rPr>
        <sz val="8"/>
        <color rgb="FFFF0000"/>
        <rFont val="Calibri"/>
        <family val="2"/>
        <scheme val="minor"/>
      </rPr>
      <t>Requesting Add'l $2,934</t>
    </r>
  </si>
  <si>
    <r>
      <rPr>
        <i/>
        <sz val="8"/>
        <rFont val="Calibri"/>
        <family val="2"/>
        <scheme val="minor"/>
      </rPr>
      <t>Re-align accounts</t>
    </r>
    <r>
      <rPr>
        <sz val="8"/>
        <rFont val="Calibri"/>
        <family val="2"/>
        <scheme val="minor"/>
      </rPr>
      <t>; currently pays copier expense</t>
    </r>
  </si>
  <si>
    <r>
      <rPr>
        <sz val="8"/>
        <rFont val="Calibri"/>
        <family val="2"/>
        <scheme val="minor"/>
      </rPr>
      <t>New Hire Cost;</t>
    </r>
    <r>
      <rPr>
        <sz val="8"/>
        <color rgb="FFFF0000"/>
        <rFont val="Calibri"/>
        <family val="2"/>
        <scheme val="minor"/>
      </rPr>
      <t xml:space="preserve"> Requesting Add'l  $332</t>
    </r>
  </si>
  <si>
    <t xml:space="preserve">POLICE
MED EXAM / DRUG TESTIG
</t>
  </si>
  <si>
    <t>POLICE
CUSTODIAL SUPPLIES</t>
  </si>
  <si>
    <t>POLICE
UNIFORM EXPENSE</t>
  </si>
  <si>
    <t>Funds will be used to restore, repair and maintain all Town recreational parks and fields. This account had been under-funded for decades.  The funds will allow the department to return the fields back to a safer and more playable condition.</t>
  </si>
  <si>
    <t>Computer expenses which include Comcast Internet services for public network, Zoom, Deep Freeze, anti-virus software, cloud server backup, WIFI subscription, web site hosting.  The additional funding will better align the actual costs with the budget for the line items.</t>
  </si>
  <si>
    <t>This expense appears on a 2 year cycle; FY22/23 valuation to commence in July.  Study completed in FY21 cost $7,650; Amount requested is based on quote from Odyssey Advisors.</t>
  </si>
  <si>
    <t>Individual Retirement</t>
  </si>
  <si>
    <t>SELECT BOARD
WAGE MINUTES SECRETARY</t>
  </si>
  <si>
    <r>
      <t xml:space="preserve">Presently the Minutes Secretary works 8 hours a month preparing minutes of the SEL Board Meetings.  The request is to increase the hours by </t>
    </r>
    <r>
      <rPr>
        <u/>
        <sz val="10"/>
        <color theme="1"/>
        <rFont val="Calibri"/>
        <family val="2"/>
        <scheme val="minor"/>
      </rPr>
      <t>2</t>
    </r>
    <r>
      <rPr>
        <sz val="10"/>
        <color theme="1"/>
        <rFont val="Calibri"/>
        <family val="2"/>
        <scheme val="minor"/>
      </rPr>
      <t xml:space="preserve"> hours per month. This would allow for the Executive Secretary to focus on other administrative duties of the job.</t>
    </r>
  </si>
  <si>
    <t>The Building Rental (St. Rose Church) costs directly correlates to the number of elections.  Cost is $150 per election.</t>
  </si>
  <si>
    <t xml:space="preserve">Regular charges include an annual fee from ES&amp;S for the ballot tabulator and auto-mark machine and well as the charge for printing the ballots for the local election. Additionally, there are variable charges based on the number of elections for the programming of the memory cards per election and for providing light refreshments for poll workers.  </t>
  </si>
  <si>
    <t>TOWN CLERK
BYLAW CODIFICATION</t>
  </si>
  <si>
    <t>Represents a one-time expense to codify the Town's Zoning By-Laws</t>
  </si>
  <si>
    <t>SELECT BOARD SPECIAL
ECONOMIC DEVELOPMENT SERVICES</t>
  </si>
  <si>
    <t>This would be a new line item intended to help create and sustain long-term economic growth for Topsfield's business community and cultural institutions.</t>
  </si>
  <si>
    <t>Pays for Actuary as required by GASB 74 &amp; 75</t>
  </si>
  <si>
    <t>SELECT BOARD
WAGE DIGITAL COMMUNICATIONS COORDINATOR</t>
  </si>
  <si>
    <t>TOWN-OWNED BUILDINGS
ELECTRICITY</t>
  </si>
  <si>
    <t>Pays for the electric bill at the Old Highway Garage</t>
  </si>
  <si>
    <r>
      <t xml:space="preserve">Old Highway Garage;  </t>
    </r>
    <r>
      <rPr>
        <sz val="8"/>
        <color rgb="FFFF0000"/>
        <rFont val="Calibri"/>
        <family val="2"/>
        <scheme val="minor"/>
      </rPr>
      <t>Requesting Add'l $225</t>
    </r>
  </si>
  <si>
    <t>TREE WARDEN
CONTRACTED TREE REMOVAL</t>
  </si>
  <si>
    <t xml:space="preserve">An increase in this line item will increase the budget from $7,075 to $10,000.  </t>
  </si>
  <si>
    <t>FIRE
F/T FIREFIGHTER</t>
  </si>
  <si>
    <t>FIRE
UNIFORM ALLOWANCE</t>
  </si>
  <si>
    <t xml:space="preserve">Line Item is underfunded. In FY21 $757.67 was needed to be transferred in for tree work.  Similarly, an additional $11,000  was needed in FY19.  $10,000 will allow the Tree Warden to better meet the responsibilities of the department. </t>
  </si>
  <si>
    <t>Removed from Contract (FY22, FY23, FY24)</t>
  </si>
  <si>
    <t>Article 7/Section 6-pro-rated, paid each pp, exclusive of base</t>
  </si>
  <si>
    <t>POLICE
CONTRACT-BWC CLOUD STORAGE</t>
  </si>
  <si>
    <t>POLICE
COPIER EXPENSE</t>
  </si>
  <si>
    <t>Contractual; based on actual</t>
  </si>
  <si>
    <t>Personnel By-Laws G2 / S11 (currently 1 Emp @ 100 hours)</t>
  </si>
  <si>
    <t>Combine Accounts - Contractual + 3.5%</t>
  </si>
  <si>
    <t>Combine Accounts - Contractual + 8%</t>
  </si>
  <si>
    <t>FIRE
PROFESSIONAL SERVICES AMBULANCE BILLING</t>
  </si>
  <si>
    <t>FIRE
MEDICAL SUPPLIES &amp; EQUIPMENT</t>
  </si>
  <si>
    <t xml:space="preserve">FIR PROF SRVS-PERMITS                                                        </t>
  </si>
  <si>
    <t>Requesting Add'l $8,100</t>
  </si>
  <si>
    <t>Requesting Add'l $6,000</t>
  </si>
  <si>
    <t xml:space="preserve">This line item is used to replenish the medical supplies &amp; equipment used during medical transports. </t>
  </si>
  <si>
    <t>INSPECTIONS
ALTERNATE INSPECTOR OF BUILDINGS</t>
  </si>
  <si>
    <t>Represents the compensation for alternate inspectors. Currently $1,779 is budgeted in this line item.</t>
  </si>
  <si>
    <t>STORM WATER MANAGEMENT
CONSULTANT</t>
  </si>
  <si>
    <t>XXXXX</t>
  </si>
  <si>
    <t>Re-align accnts; AFSCME Union Contract</t>
  </si>
  <si>
    <t>AFSCME Union Contract FY21-FY23</t>
  </si>
  <si>
    <r>
      <rPr>
        <i/>
        <sz val="8"/>
        <rFont val="Calibri"/>
        <family val="2"/>
        <scheme val="minor"/>
      </rPr>
      <t>Re-align accnts</t>
    </r>
    <r>
      <rPr>
        <sz val="8"/>
        <rFont val="Calibri"/>
        <family val="2"/>
        <scheme val="minor"/>
      </rPr>
      <t>; Based on Actual; 2020 included 2 St Light Bills</t>
    </r>
  </si>
  <si>
    <t>The new legislation of Police Reform mandates that all reserve officers attend a Massachusetts Municipal Police Committee Bridge Academy.  A pre-requisite for the entrance into the academy is a medical exam and all new hires require a medical exam and a psychological exam. The Medical exam costs $832, Psychological exam costs $450.</t>
  </si>
  <si>
    <t>The Town has changed vendors for the purchase of custodial supplies. The cost of supplies has significantly increased.</t>
  </si>
  <si>
    <t xml:space="preserve">An increase in this line item will increase the budget from $3,105 to $13,105.  </t>
  </si>
  <si>
    <t>LANDFILL
GROUND WATER  - PFAS TESTING</t>
  </si>
  <si>
    <t>LANDFILL
OTHER EXPENSES</t>
  </si>
  <si>
    <t>These funds will be used for the maintenance and repair of both the ground-water and gas monitoring wells. Presently some are in dis-repair including missing covers, broken well-casings and wells whose structure has shifted due to settling. If available, these funds would also be used with the costs associated in submitting requests to the state for revisions in the post-closure monitoring plan. The revisions would be intended to save the Town money in the future years. Currently we have 10 years remaining on the original 30-year monitoring requirement although this would be dependent on being released from the state at that time.</t>
  </si>
  <si>
    <t>xxxxx</t>
  </si>
  <si>
    <t>Funds will be used for expenses relating to the landfill.  Currently the P&amp;C and BOH Departments are coordinating services to ensure the Town's landfill is in satisfactory condition and is meeting Post Closure Monitoring requirements. These expenses are expected to be ongoing as it appears that significant repairs are needed at this time.</t>
  </si>
  <si>
    <t>POL MAINT-GAS TANKS</t>
  </si>
  <si>
    <t>POL OFC EQUIP</t>
  </si>
  <si>
    <t>POL MAINT-BREATHALYZER</t>
  </si>
  <si>
    <t>POL MISC EXPENSE</t>
  </si>
  <si>
    <t xml:space="preserve">POL PORTABLE RADIOS               </t>
  </si>
  <si>
    <t xml:space="preserve">POL CAP - PORTABLE RADIOS              </t>
  </si>
  <si>
    <t>Debt Service appropriations provide for the payment of principal and interest costs for long and short term bonds issued by the Town for capital projects for General Fund purposes. The debt service appropriations for the Water Enterprise Fund appears in their budgets.</t>
  </si>
  <si>
    <t>SALARY RESERVE</t>
  </si>
  <si>
    <t>Health insurance costs continue to be a major budget driver for municipalities throughout the state, including Topsfield.</t>
  </si>
  <si>
    <t>The current rate for Medicare is 1.45% for the employer and 1.45% for the employee, or 2.9% total.</t>
  </si>
  <si>
    <t>This decrease is due to maturing debt.  It is all excluded debt.</t>
  </si>
  <si>
    <t>Topsfield is part of the Essex Regional Retirement System (ERRS).  ERRS administers the public pension system for 47 local entities, including 19 towns, five school districts, 17 housing authorities and six special districts throughout Essex County, Massachusetts. </t>
  </si>
  <si>
    <t>Letter from ERRS dated 12/14/21 for appropriation for FY23.  Discount applied if paid by July 1 (or first warrant in July)</t>
  </si>
  <si>
    <t>POL MAINT-RADIO/RADAR</t>
  </si>
  <si>
    <t xml:space="preserve">POL PROFESSIONAL DEVELOPMENT              </t>
  </si>
  <si>
    <t xml:space="preserve">POL FIREARMS/AMMO/RANGE      </t>
  </si>
  <si>
    <t xml:space="preserve">POL PRISONERS MEALS    </t>
  </si>
  <si>
    <t xml:space="preserve">INS  MTG/CONF/LICENS               </t>
  </si>
  <si>
    <t>$1000 - 60% HWY / 40% P&amp;C</t>
  </si>
  <si>
    <t>HWY  MAINT-EQUIP</t>
  </si>
  <si>
    <t xml:space="preserve">SSP  PROF SRVS - VARIOUS                                                       </t>
  </si>
  <si>
    <t>Workers' Compensation In insurance through MIIA.  MIIA is the non-profit insurance provider established in 1982 to deliver insurance costs stability.</t>
  </si>
  <si>
    <t>Review past 5 years Actuals; re-align accounts</t>
  </si>
  <si>
    <t xml:space="preserve">Funds will be used to hire a new full-time equipment operator in the P&amp;C Department.  With the addition of a new full-time employee, the Park &amp; Cemetery Department intends to eliminate the need of part-time seasonal help.  </t>
  </si>
  <si>
    <t>SEL DIGITAL COMMUNICATION COORD</t>
  </si>
  <si>
    <r>
      <t xml:space="preserve">FY23 G6/S9 (5hrs SEL/3hrs PEG); </t>
    </r>
    <r>
      <rPr>
        <sz val="8"/>
        <color rgb="FFFF0000"/>
        <rFont val="Calibri"/>
        <family val="2"/>
        <scheme val="minor"/>
      </rPr>
      <t>Requesting add'l $8,413</t>
    </r>
  </si>
  <si>
    <t>Personnel By-Laws - FY23 Grade 6 / Step 11 (40 hours)</t>
  </si>
  <si>
    <r>
      <t xml:space="preserve">Personnel By-Laws - FY23 G3/S11; </t>
    </r>
    <r>
      <rPr>
        <sz val="8"/>
        <color rgb="FFFF0000"/>
        <rFont val="Calibri"/>
        <family val="2"/>
        <scheme val="minor"/>
      </rPr>
      <t>Requesting add'l $552</t>
    </r>
  </si>
  <si>
    <t>Funds are needed based on actual historical costs and future estimated costs.</t>
  </si>
  <si>
    <t>ZBD MISC EXPENSE</t>
  </si>
  <si>
    <t xml:space="preserve">PBD  DUES, PUBL &amp; MMBRSHPS                          </t>
  </si>
  <si>
    <t>PBD MISC EXPENSE</t>
  </si>
  <si>
    <t>Net savings of PBD &amp; ZBD = $36</t>
  </si>
  <si>
    <t>Requesting Add'l $2,520</t>
  </si>
  <si>
    <t xml:space="preserve">The full amount of the wages for this employee would be paid through the general fund and $25,000 from the Cemetery Revolving Fund would be used as a Budget Offset.  The job classification would be an Equipment Operator in the P&amp;C Department.
This position is needed as it is estimated that it takes a minimum of 164 hours per week to mow and maintain the ballfields, parks and open space. The average employee is physically available to perform this work 30 hours per week.  It has been a challenge for the current staffing model of three full-time employees plus seasonal help to consistently meet this need.  In addition, a full-time employee would provide us with more consistent support during the mowing season and be able to provide direct support to the other departments and projects during the off peak season.
Annual wage in FY23 would equal $49,700 at Equipment Operator rate, with $25,000 Budget offset from Cemetery Revolving Fund, true request is for $24,700.
</t>
  </si>
  <si>
    <t>The line item is currently budgeted at $1,000. The additional funds would increase the budgeted line item to $1,282.</t>
  </si>
  <si>
    <t xml:space="preserve">The line item is currently not budgeted but the expenses have been charged against it since the copier was obtained for accounting purposes. </t>
  </si>
  <si>
    <t>The line item is currently budgeted at $1,005. The additional funds would increase the budgeted line item to $1,700.</t>
  </si>
  <si>
    <t>The line item is currently budgeted at $168. The additional funds would increase the budgeted line item to $500.</t>
  </si>
  <si>
    <t>Double Check….</t>
  </si>
  <si>
    <t>The line item is currently budgeted at $19,450. The additional funds would increase the budgeted line item to $30,650.</t>
  </si>
  <si>
    <t>The line item is currently budgeted at $6,329. The additional funds would increase the budgeted line item to $6,641.</t>
  </si>
  <si>
    <t>The line item is currently budgeted at $23,198. The additional funds would increase the budgeted line item to $23,662.</t>
  </si>
  <si>
    <t>Grant paid for body worn cameras. The requested $8,760 represents the annual costs to the Town.</t>
  </si>
  <si>
    <t>The surety bond covers the municipality against financial harm. The Town uses Travelers for surety bonds on employees handling the bulk of the Town's cash.</t>
  </si>
  <si>
    <t>BELOW IS A SUMMARY OF ALL DEBT &amp; UNCLASSIFIED/FIXED CHARGES; THE CHANGES ARE INCLUDED IN THE OMNIBUS BUDGET DOCUMENT</t>
  </si>
  <si>
    <t>Property and liability insurance through MIIA.  MIIA is the non-profit insurance provider established in 1982 to deliver insurance costs stability.</t>
  </si>
  <si>
    <t xml:space="preserve">Police &amp; Fire Accident Insurance  is through CHUBB. </t>
  </si>
  <si>
    <t>A historical review (FY17-FY22) of these accounts was completed and the accounts have been re-aligned based on the actual past expenses, the current expenses and the anticipated increases/decreases for FY23.</t>
  </si>
  <si>
    <t>This is a newly create position in response to the Select Board's goal of increased communication and transparency.  The position will be 8 hours per week - 5 hours dedicated to content building and social media work and 3 hours for website enhancements and posting.  Currently the website is being managed by a departmental staff person and paid as a monthly stipend. This portion of the position will replace the existing stipend. PEG is a Reserved for Appropriation Account and all expenses are funded with PEG Funds as a "Budget Offset."</t>
  </si>
  <si>
    <t>The Digital Communication Coordinator position was posted in December, 2021 in response the  Select Board's goal of improved communication of all matters pertaining to municipal government.
This employee's start date in January, 2022 and she will be responsible to set-up communication platforms, create content and distribute information to the citizens of Topsfield.</t>
  </si>
  <si>
    <t>The Police Department will be implementing a new Body Worn Camera program that was funded through a state grant.  The body worn camera program requires the download and cloud storage of information at the completion of every shift. The cloud storage has an annual re-occurring cost of $8,760. This costs is not covered by the grant.</t>
  </si>
  <si>
    <t>In FY22 the copies line item was unfunded. The Police Department has two approved copier leases totaling $5,837. Money from Office Supplies has been moved to the Copier line item expense but there is still a shortfall to appropriate fund this line item.</t>
  </si>
  <si>
    <t>The cost of replacing uniform damaged in the line of duty as well as purchasing required uniform items for new hires has increased.</t>
  </si>
  <si>
    <t>This line item serves as contingency funds for contractual positions and collective bargaining unions whose contracts are expiring (without a new contract in place) at the end of current fiscal year.</t>
  </si>
  <si>
    <t>These are the Cherry Sheet Assessments. 
DOR requires that the monthly charges are treated as an expense and not reported as an offset to the 
Cherry Sheet receipts.</t>
  </si>
  <si>
    <t>at 3.00% Guideline</t>
  </si>
  <si>
    <t>Note: FY23 Schools</t>
  </si>
  <si>
    <r>
      <t xml:space="preserve">SEL SAL PURCHASING &amp; </t>
    </r>
    <r>
      <rPr>
        <sz val="10"/>
        <color rgb="FFFF0000"/>
        <rFont val="Calibri"/>
        <family val="2"/>
        <scheme val="minor"/>
      </rPr>
      <t>PROJECT COORD</t>
    </r>
  </si>
  <si>
    <r>
      <t xml:space="preserve"> Personnel By-Laws-FY23 G7/S8 (40hrs); </t>
    </r>
    <r>
      <rPr>
        <sz val="8"/>
        <color theme="1"/>
        <rFont val="Calibri"/>
        <family val="2"/>
        <scheme val="minor"/>
      </rPr>
      <t>Name Change</t>
    </r>
  </si>
  <si>
    <t xml:space="preserve">SSP  PROF SRVS - ECONOMIC DEVELOP SRVS                                       </t>
  </si>
  <si>
    <t xml:space="preserve">INS  FAIR STIPEND (GAS/WIRING)                       </t>
  </si>
  <si>
    <t xml:space="preserve"> Personnel By-Laws - FY23 Grade 5 / Step 8 (30 hours)</t>
  </si>
  <si>
    <t xml:space="preserve">Personnel By-Laws - FY23 Grade 6 / Step 11 </t>
  </si>
  <si>
    <t>The Town has been investing in the beautification of its downtown and historic common as well as supporting special events to bring the community together and help support our businesses. These funds would go directly towards initiatives such as Holiday on the Green, The Tomato Festival, holiday decorations, flower baskets, flower planters and more.</t>
  </si>
  <si>
    <t>The Town would hire an individual to work part-time under the direction of the Town Administrator to perform a variety of administrative and professional work to oversee and coordinate community and economic development plans, programs and services.  Individual would be hired for 19 hours per week as an anticipated Grade 7/Step 8 under the Personnel By-Laws. 
This position will also provide administrative support for both the Planning Board and Zoning Board.</t>
  </si>
  <si>
    <t>Represents the cost to hire two new full-time firefighters.  TFD, like many communities, is having significant difficulties filling shifts with call firefighters.  (Request includes entry wages and contracted uniform allowance of $1,400 each.)</t>
  </si>
  <si>
    <r>
      <t>Represents the increase based on the number of anticipated elections in FY23. In FY22, there was only one election budgeted. In FY23, there will be three elections (</t>
    </r>
    <r>
      <rPr>
        <i/>
        <sz val="10"/>
        <color theme="1"/>
        <rFont val="Calibri"/>
        <family val="2"/>
        <scheme val="minor"/>
      </rPr>
      <t>Sept-State Primary, Nov-State Election, May-Local Election</t>
    </r>
    <r>
      <rPr>
        <sz val="10"/>
        <color theme="1"/>
        <rFont val="Calibri"/>
        <family val="2"/>
        <scheme val="minor"/>
      </rPr>
      <t>).  Based on the U.S. Census, Topsfield is also required to increase to two precincts.  Additional staff will be necessary due to the increase in precincts and for in-person early voting for both State Elections.</t>
    </r>
  </si>
  <si>
    <t>Based on the U.S. Census, Topsfield is required to increase to two precincts. This will require additional staff at elections. By law, another check-in team, clerk, ballot box clerk and AV/EV processing team will need to be scheduled. Also, mandatory In-Person Voting is required for State Elections - Seven days for State Primaries , 14 days for State Elections. In-person Early Voting for two precincts will require four poll workers.
In addition to the increase in elections, In January 2022, Massachusetts Minimum Wage will increase from $13.50 to $14.25. The increase in minimum wage represents approximately an additional $560 increased costs for Topsfield.</t>
  </si>
  <si>
    <t xml:space="preserve">The Fire Department currently makes up 4.7% of the Town's budget.  Duties include responding to fire, hazardous materials, rescue, medical emergencies and transport.  The TFD is proposing the addition of two new firefighter positions to more effectively deal with the safety and responsiveness of its' citizen's needs.  The fire station operates 24/7 with a Fire Chief, four full-time firefighters and additional coverage provided by on-call firefighters in the community.  On-call hours are determined by people's availability and many other obligations. Increased full-time coverage will help ensure that the TFD is able to respond to it's citizen's needs in an emergency. 
Contingency: Call Wages line item is under-funded based on changes in the contract and would need to be increased by $47,000.  </t>
  </si>
  <si>
    <t>Represents funds needed to pay contracted vendor 4% of actual revenues received to the General Fund. Also takes into consideration increased volume of medical transports.</t>
  </si>
  <si>
    <t xml:space="preserve">Even with budgeted increases over the past two years, this account has been significantly underfunded by approximately $5,000-$8,000.  Additionally, medical transports are up over 22%.  Increase in transports is directly related to increased revenue and billing costs.  Professional EMS is the contracted vendor. Their fee is 4% of the revenue receipts.  </t>
  </si>
  <si>
    <t>Final expenses for FY21 exceed the budget by over $4,000.  Current expenses are exceeding the half-year budget by approximately 8%. Expenses in this line item are directly related to the increased call volume.</t>
  </si>
  <si>
    <t xml:space="preserve">Represents the amount needed to fund an unfunded mandate pertaining to storm water management. </t>
  </si>
  <si>
    <r>
      <t xml:space="preserve">These funds pertain to the Municipal Separate Storm Sewer System (MS4) General Permit.  Under MS4, Towns are required to comply and report for stormwater discharges.  The report process has many specific and technical requirements that must be met.  These services are provided through consultants.   The permit and compliance with MS4 is required by the state.  The increase is to address requirements not met yet and ensure full compliance
More information about MS4 can be found on </t>
    </r>
    <r>
      <rPr>
        <u/>
        <sz val="10"/>
        <color theme="1"/>
        <rFont val="Calibri"/>
        <family val="2"/>
        <scheme val="minor"/>
      </rPr>
      <t xml:space="preserve">epa.gov/npdes </t>
    </r>
  </si>
  <si>
    <r>
      <t>The Town’s landfill has 12 ground-water monitoring wells. The State is mandating testing for PFAS</t>
    </r>
    <r>
      <rPr>
        <sz val="10"/>
        <color rgb="FF202124"/>
        <rFont val="Calibri"/>
        <family val="2"/>
        <scheme val="minor"/>
      </rPr>
      <t xml:space="preserve"> (perfluorooctanoic acid</t>
    </r>
    <r>
      <rPr>
        <sz val="10"/>
        <color theme="1"/>
        <rFont val="Calibri"/>
        <family val="2"/>
        <scheme val="minor"/>
      </rPr>
      <t>) on each of these wells plus two “blanks” as controls.  We anticipate that the test will need to be completed on a quarterly basis. This is a forthcoming, unfunded mandate which is not presently represented in the Town’s Omnibus budget.</t>
    </r>
  </si>
  <si>
    <t>Represents funds needed to address a new, unfunded state mandate relating to PFAS testing for ground-water wells at the Landfill site.  We anticipate quarterly PFAS monitoring on an ongoing basis.</t>
  </si>
  <si>
    <t>INSPECTIONS
BUILDING INSPECTOR (APPT'D)</t>
  </si>
  <si>
    <t>Represents an increase in the hours from 30 to 40 hours and a decrease in the Step from 11 to 9.</t>
  </si>
  <si>
    <r>
      <rPr>
        <i/>
        <sz val="8"/>
        <rFont val="Calibri"/>
        <family val="2"/>
        <scheme val="minor"/>
      </rPr>
      <t>Re-align accnts;</t>
    </r>
    <r>
      <rPr>
        <sz val="8"/>
        <rFont val="Calibri"/>
        <family val="2"/>
        <scheme val="minor"/>
      </rPr>
      <t xml:space="preserve"> 3% Contractual Increase</t>
    </r>
  </si>
  <si>
    <t>TWN OFFICE EQUIP-PLOTTER</t>
  </si>
  <si>
    <t>Requesting add'l $3,500</t>
  </si>
  <si>
    <t>TOWN HALL
OFC EQUIP-PLOTTER</t>
  </si>
  <si>
    <t>THIS SECTION NOT UPDATED (as of 1/6/22); 
WILL BE UPDATED WITH TA/BOS VERSION OF BUDGET</t>
  </si>
  <si>
    <t>AB</t>
  </si>
  <si>
    <t>ES</t>
  </si>
  <si>
    <t>MR</t>
  </si>
  <si>
    <t>SH</t>
  </si>
  <si>
    <t>NM</t>
  </si>
  <si>
    <t>Nmi</t>
  </si>
  <si>
    <t>TOTAL GENERAL FUND (INCLUDING SCHOOLS)</t>
  </si>
  <si>
    <t>A</t>
  </si>
  <si>
    <t>PLANNING &amp; DEVELOPMENT
SALARY &amp; WAGES - PLANNER</t>
  </si>
  <si>
    <t>Request represents the establishment of a new department for planning and development.</t>
  </si>
  <si>
    <t>% of Inc / (dec)</t>
  </si>
  <si>
    <t>Town Budget ONLY with Above Guideline" Items:</t>
  </si>
  <si>
    <t>Tax is based on payroll. Level funded budget will cover the costs for FY23.</t>
  </si>
  <si>
    <t>The Town of Topsfield offers a $10,000 Basic Life Insurance Policy where the Town pays 67% , leaving a minimal employee payroll deduction.</t>
  </si>
  <si>
    <t>Fund Balance as of 12/31/21 is $77,853.68</t>
  </si>
  <si>
    <t>Fund Balance as of 12/31/21 is $102,144.91</t>
  </si>
  <si>
    <t>Fund Balance as of 12/31/21 is $76,912.34</t>
  </si>
  <si>
    <t>The fund was established by vote at the 2017 Annual Town Meeting as a reserve fund for future payments of accrued liabilities for compensated absences due to any employee or full-time officer f the Town upon termination of employment.</t>
  </si>
  <si>
    <t>UNEMPLOYMENT FUND (FUND 088)</t>
  </si>
  <si>
    <t>COMPENSATED ABSENSES 
(FUND 089)</t>
  </si>
  <si>
    <t>POLICE/FIRE SPECIAL IDEMNITY LEAVE 
(FUND 090)</t>
  </si>
  <si>
    <t>The fund was established by vote at the 2017 Annual Town Meeting as a special fund for payment of injury leave compensation or medical bills incurred under G.L. c41 111F or 100.</t>
  </si>
  <si>
    <t>The fund was established by vote at the 2017 Annual Town Meeting as a special fund for the anticipated costs of funding reimbursements to the Commonwealth for unemployment compensation benefits.</t>
  </si>
  <si>
    <t>Vendor is Cafeteria Plan Advisors, Inc.   In addition to an annual fee of $250. Fees include $100/month, $5/participant, $1/card. We have 40 participants / 38 debit cards.</t>
  </si>
  <si>
    <t>Budget is currently set at $2,000 for request for employee reimbursement for certain medical copays.</t>
  </si>
  <si>
    <r>
      <rPr>
        <i/>
        <sz val="9"/>
        <color theme="9" tint="-0.249977111117893"/>
        <rFont val="Calibri"/>
        <family val="2"/>
        <scheme val="minor"/>
      </rPr>
      <t>$13,700 moved in to align accts</t>
    </r>
    <r>
      <rPr>
        <i/>
        <sz val="9"/>
        <rFont val="Calibri"/>
        <family val="2"/>
        <scheme val="minor"/>
      </rPr>
      <t>;$17,086 increase Contractual</t>
    </r>
  </si>
  <si>
    <t>Align accnts</t>
  </si>
  <si>
    <t>TOWN HALL
OTHER CONTRACTS
(CYBER SOFTWARE)</t>
  </si>
  <si>
    <t xml:space="preserve">These funds will pay for the second year of the contract which was executed on January 3, 2022. </t>
  </si>
  <si>
    <t>Existing codication has been specific to the Town's General By-Laws. This $7,000 will allow the Town to codify the Town's Zoning By-Laws. Codifcation is the process of collecting, removing repealed or obsolete ordinances and editing for proper grammar, consistency and clarity. 
The codified General By-Laws and Zoning By-Laws will reside on General Code's eCode360 platform and will allow users to access and search the By-Laws from the Town's website.</t>
  </si>
  <si>
    <t xml:space="preserve">These funds will pay for the second year of a lease agreement which was executed in FY22. </t>
  </si>
  <si>
    <t xml:space="preserve">The existing plotter is past its useful life and has failed.  The plotter needed to be replaced and is expected for delivery in 6-8 weeks.  The lease versus purchase analysis showed a greater benefit through entering a lease agreement rather than a one time purchase. Maintenance is included with the lease agreement.  </t>
  </si>
  <si>
    <t>Requesting add'l $1,721</t>
  </si>
  <si>
    <t>This costs represents an enhancement on our cyber security through a two-year contract that the Town has executed in collaboration with the IT Regionalization effort. As such, this represents a discounted cost due to the economies of scale with the participating communities.</t>
  </si>
  <si>
    <t>Monthly cost to Town varies based on number of employees who accept this benefit. Currently roughly 120 employees are enrolled in this policy.</t>
  </si>
  <si>
    <t>Since 2000, the Building Inspector position has been 30-hours per week. Over that time the number of permits has increased from 646 in FY2000 to 973 in FY2021. The increase in building activity represents an increase in revenue from the department. Increased hours will also allow for better office coverage and communication with customers.</t>
  </si>
  <si>
    <t>The Inspection Department has recently increased the wages for the alternate inspectors from $25 per inspection to $50 per inspection.  Most cities and town are paying $50 and the Town of Topsfield was experiencing difficulty obtaining alternate inspectors to assist when needed due to the low rate of pay.</t>
  </si>
  <si>
    <t>$4,000 for Landscape Plan - The library grounds are overgrown and unsightly. Trust Commissioners indicated the Gould Trust will pay for landscape materials but not a plan.
$7,200 for Water Bubblers - the library water bubblers are 20-years old, inefficient and unhygienic. The new units were recommended by Paul Anastasi, the Facilities Manager.
This increase is necessary to keep the Town compliant with the statutory requirement for MAR (Municipal Appropriation Requirement).</t>
  </si>
  <si>
    <r>
      <t xml:space="preserve">P By-Laws - FY23 G8/S11; VACANT; </t>
    </r>
    <r>
      <rPr>
        <sz val="8"/>
        <color rgb="FFFF0000"/>
        <rFont val="Calibri"/>
        <family val="2"/>
        <scheme val="minor"/>
      </rPr>
      <t>Requesting add'l $18,479</t>
    </r>
  </si>
  <si>
    <t>Contractual Change</t>
  </si>
  <si>
    <t>Re-align accnts; Contractual change</t>
  </si>
  <si>
    <t>Above Guidelines (Town)</t>
  </si>
  <si>
    <t>MASCO + MASCO Debt</t>
  </si>
  <si>
    <t>PEG WAGES DIG COMM COORD/WEBSITE</t>
  </si>
  <si>
    <t>PEG WAGES WEBSITE STIPEND</t>
  </si>
  <si>
    <t xml:space="preserve">TRS GASB 45 / OPEB              </t>
  </si>
  <si>
    <t>Employees may enroll in Health and/or Dependent Care Flexible Spending Account (FSA) to set aside money on a pre-tax basis to pay for qualified expenses.  The contributions are taken from the employee's pay through payroll deductions and the program fee is paid by the Town.</t>
  </si>
  <si>
    <t>HRS - Health Reimbursement Support.  This was initially a temporary arrangement set up for time period when Town did plan design change. It was to help employees out with unusual situations.</t>
  </si>
  <si>
    <t xml:space="preserve">COA  TRACKING SOFTWARE </t>
  </si>
  <si>
    <t>Personnel By-Laws - FY23 Grade 10 / Step 10</t>
  </si>
  <si>
    <t>Preliminary Budget received 2/14/22 (Enrollment 25 to 27)</t>
  </si>
  <si>
    <r>
      <rPr>
        <i/>
        <strike/>
        <sz val="8"/>
        <rFont val="Calibri"/>
        <family val="2"/>
        <scheme val="minor"/>
      </rPr>
      <t>Re-align accnts</t>
    </r>
    <r>
      <rPr>
        <i/>
        <sz val="8"/>
        <rFont val="Calibri"/>
        <family val="2"/>
        <scheme val="minor"/>
      </rPr>
      <t>; Per Kevin at 2/14/22 FCM Mtg</t>
    </r>
  </si>
  <si>
    <t>FY23 G6/S9 (5hrs SEL/3hrs PEG); FORMERLY WEBSITE STIPEND</t>
  </si>
  <si>
    <t>Increase Minute Secretary by 2 hrs/month for a total of 12 hrs/year.</t>
  </si>
  <si>
    <t>SB/TA Budget - Level II:  Included as a warrant article since expense is a one-time expense</t>
  </si>
  <si>
    <r>
      <rPr>
        <sz val="8"/>
        <color rgb="FF00B050"/>
        <rFont val="Calibri"/>
        <family val="2"/>
        <scheme val="minor"/>
      </rPr>
      <t>Fixed Charges;</t>
    </r>
    <r>
      <rPr>
        <sz val="8"/>
        <color rgb="FFFF0000"/>
        <rFont val="Calibri"/>
        <family val="2"/>
        <scheme val="minor"/>
      </rPr>
      <t xml:space="preserve"> Requesting add'l </t>
    </r>
    <r>
      <rPr>
        <strike/>
        <sz val="8"/>
        <color rgb="FFFF0000"/>
        <rFont val="Calibri"/>
        <family val="2"/>
        <scheme val="minor"/>
      </rPr>
      <t>$176,000</t>
    </r>
    <r>
      <rPr>
        <sz val="8"/>
        <color rgb="FFFF0000"/>
        <rFont val="Calibri"/>
        <family val="2"/>
        <scheme val="minor"/>
      </rPr>
      <t xml:space="preserve"> $80K 2/28/22 3.90%</t>
    </r>
  </si>
  <si>
    <t>PARK &amp; CEMETERY
PROFESSIONAL SERVICES - LANDSCAPING</t>
  </si>
  <si>
    <t>Landscaping services will be used for the care of the Cemetery property to eliminate the need for additional personnel.  Year 1 will serve as a trail basis to determine the effectiveness of outsourcing this service based on cost estimates that we have received.</t>
  </si>
  <si>
    <t>NEW</t>
  </si>
  <si>
    <t>This line item would be newly created in the General Fund but the service will be paid indirectly using the Cemetery Perpetual Care and the Cemetery Revolving Fund as a budget offset.  
This line item will be offset by:
$25,000 Perpetual Care
$25,000 Cemetery Revolving Fund
This would eliminate the use of summer part time help which is currently funded through the Cemetery Revolving Fund (up to $25,000).</t>
  </si>
  <si>
    <t>Initial conversations with MIIA indicated an increase of $176,000. Conversation with MIIA on 2/28/22 confirmed a 3.22% increase.  Calculated base don actuals with contingencies.</t>
  </si>
  <si>
    <t>Existing contract 12/9/19 - 6/30/22; Contract signed 2/28/22</t>
  </si>
  <si>
    <r>
      <t>Requesting Add'l $8,760</t>
    </r>
    <r>
      <rPr>
        <sz val="8"/>
        <color rgb="FFFF0000"/>
        <rFont val="Calibri"/>
        <family val="2"/>
        <scheme val="minor"/>
      </rPr>
      <t xml:space="preserve">;  </t>
    </r>
    <r>
      <rPr>
        <sz val="8"/>
        <rFont val="Calibri"/>
        <family val="2"/>
        <scheme val="minor"/>
      </rPr>
      <t>Request withdrawn</t>
    </r>
  </si>
  <si>
    <r>
      <t xml:space="preserve">Re-align accnts; </t>
    </r>
    <r>
      <rPr>
        <i/>
        <strike/>
        <sz val="8"/>
        <color rgb="FFFF0000"/>
        <rFont val="Calibri"/>
        <family val="2"/>
        <scheme val="minor"/>
      </rPr>
      <t>Requesting add'l $7k</t>
    </r>
    <r>
      <rPr>
        <i/>
        <sz val="8"/>
        <color rgb="FFFF0000"/>
        <rFont val="Calibri"/>
        <family val="2"/>
        <scheme val="minor"/>
      </rPr>
      <t xml:space="preserve">; </t>
    </r>
    <r>
      <rPr>
        <i/>
        <sz val="8"/>
        <rFont val="Calibri"/>
        <family val="2"/>
        <scheme val="minor"/>
      </rPr>
      <t>moved to warrant article</t>
    </r>
  </si>
  <si>
    <r>
      <rPr>
        <strike/>
        <sz val="8"/>
        <color rgb="FFFF0000"/>
        <rFont val="Calibri"/>
        <family val="2"/>
        <scheme val="minor"/>
      </rPr>
      <t>Requesting add'l 10,000</t>
    </r>
    <r>
      <rPr>
        <sz val="8"/>
        <color rgb="FFFF0000"/>
        <rFont val="Calibri"/>
        <family val="2"/>
        <scheme val="minor"/>
      </rPr>
      <t xml:space="preserve">; </t>
    </r>
    <r>
      <rPr>
        <sz val="8"/>
        <rFont val="Calibri"/>
        <family val="2"/>
        <scheme val="minor"/>
      </rPr>
      <t>Request Withdrawn</t>
    </r>
  </si>
  <si>
    <r>
      <rPr>
        <strike/>
        <sz val="8"/>
        <color rgb="FFFF0000"/>
        <rFont val="Calibri"/>
        <family val="2"/>
        <scheme val="minor"/>
      </rPr>
      <t>Requesting Add'l $2925</t>
    </r>
    <r>
      <rPr>
        <sz val="8"/>
        <color rgb="FFFF0000"/>
        <rFont val="Calibri"/>
        <family val="2"/>
        <scheme val="minor"/>
      </rPr>
      <t xml:space="preserve">; </t>
    </r>
    <r>
      <rPr>
        <sz val="8"/>
        <rFont val="Calibri"/>
        <family val="2"/>
        <scheme val="minor"/>
      </rPr>
      <t>Request withdrawn, warrant article</t>
    </r>
  </si>
  <si>
    <r>
      <rPr>
        <strike/>
        <sz val="8"/>
        <color rgb="FFFF0000"/>
        <rFont val="Calibri"/>
        <family val="2"/>
        <scheme val="minor"/>
      </rPr>
      <t>Requesting Add'l $10,000</t>
    </r>
    <r>
      <rPr>
        <sz val="8"/>
        <color rgb="FFFF0000"/>
        <rFont val="Calibri"/>
        <family val="2"/>
        <scheme val="minor"/>
      </rPr>
      <t xml:space="preserve">; </t>
    </r>
    <r>
      <rPr>
        <sz val="8"/>
        <rFont val="Calibri"/>
        <family val="2"/>
        <scheme val="minor"/>
      </rPr>
      <t>Request withdrawn, warrant article</t>
    </r>
  </si>
  <si>
    <r>
      <t xml:space="preserve">AFSCME Union Contract FY21-FY23; </t>
    </r>
    <r>
      <rPr>
        <strike/>
        <sz val="8"/>
        <color rgb="FFFF0000"/>
        <rFont val="Calibri"/>
        <family val="2"/>
        <scheme val="minor"/>
      </rPr>
      <t>Requesting add'l $49,700</t>
    </r>
  </si>
  <si>
    <t>P&amp;C  PROF SRVS- CEM GROUNDS KEEP</t>
  </si>
  <si>
    <t>Requesting add'l $50,000 - BUDGET OFFSET</t>
  </si>
  <si>
    <r>
      <rPr>
        <i/>
        <sz val="8"/>
        <rFont val="Calibri"/>
        <family val="2"/>
        <scheme val="minor"/>
      </rPr>
      <t>Re-align accnts</t>
    </r>
    <r>
      <rPr>
        <sz val="8"/>
        <color rgb="FFFF0000"/>
        <rFont val="Calibri"/>
        <family val="2"/>
        <scheme val="minor"/>
      </rPr>
      <t xml:space="preserve">; </t>
    </r>
    <r>
      <rPr>
        <strike/>
        <sz val="8"/>
        <color rgb="FFFF0000"/>
        <rFont val="Calibri"/>
        <family val="2"/>
        <scheme val="minor"/>
      </rPr>
      <t>Requesting add'l  $10K</t>
    </r>
    <r>
      <rPr>
        <sz val="8"/>
        <color rgb="FFFF0000"/>
        <rFont val="Calibri"/>
        <family val="2"/>
        <scheme val="minor"/>
      </rPr>
      <t xml:space="preserve">; </t>
    </r>
    <r>
      <rPr>
        <sz val="8"/>
        <color theme="1"/>
        <rFont val="Calibri"/>
        <family val="2"/>
        <scheme val="minor"/>
      </rPr>
      <t>Withdrawn, War Art</t>
    </r>
  </si>
  <si>
    <r>
      <rPr>
        <strike/>
        <sz val="8"/>
        <color rgb="FFFF0000"/>
        <rFont val="Calibri"/>
        <family val="2"/>
        <scheme val="minor"/>
      </rPr>
      <t>Requesting add'l  $25,600</t>
    </r>
    <r>
      <rPr>
        <sz val="8"/>
        <color rgb="FFFF0000"/>
        <rFont val="Calibri"/>
        <family val="2"/>
        <scheme val="minor"/>
      </rPr>
      <t xml:space="preserve">; </t>
    </r>
    <r>
      <rPr>
        <sz val="8"/>
        <color theme="1"/>
        <rFont val="Calibri"/>
        <family val="2"/>
        <scheme val="minor"/>
      </rPr>
      <t>Request Withdrawn, Warrant Article</t>
    </r>
  </si>
  <si>
    <r>
      <rPr>
        <strike/>
        <sz val="8"/>
        <color rgb="FFFF0000"/>
        <rFont val="Calibri"/>
        <family val="2"/>
        <scheme val="minor"/>
      </rPr>
      <t>Requesting add'l  $10,000</t>
    </r>
    <r>
      <rPr>
        <sz val="8"/>
        <color rgb="FFFF0000"/>
        <rFont val="Calibri"/>
        <family val="2"/>
        <scheme val="minor"/>
      </rPr>
      <t xml:space="preserve">; </t>
    </r>
    <r>
      <rPr>
        <sz val="8"/>
        <color theme="1"/>
        <rFont val="Calibri"/>
        <family val="2"/>
        <scheme val="minor"/>
      </rPr>
      <t>Request Withdrawn, Warrant Article</t>
    </r>
  </si>
  <si>
    <t>FCM Level III
Changed to (2) Warrant Articles:
TREE REMOVAL $50,000
TREE PLANTING $35,000</t>
  </si>
  <si>
    <t>FCM Level III
Changes to Warrant Article
CONSULTANTFOR MS4 GENERAL PERMIT $50,000</t>
  </si>
  <si>
    <t>FCM Level III
Changed to $50,000 request to outsource using Cemetery Perpetual Care and Cemetery Revolving Fund (see below)</t>
  </si>
  <si>
    <t>FCM Level III
Changed to Warrant Article:
LANDFILL REPAIRS $35,000</t>
  </si>
  <si>
    <t>FCM Level III
Changed to Warrant Article:
PARK &amp; BALL FIELD IMPROVEMENTS $45,000</t>
  </si>
  <si>
    <t>FCM Level III
Request Withdrawn</t>
  </si>
  <si>
    <t>FCM-Level III
Request Withdrawn</t>
  </si>
  <si>
    <t>double check</t>
  </si>
  <si>
    <t>NOTE: Revised #26 not included in formula; net = 0</t>
  </si>
  <si>
    <t>FCM Guidelines 3%; PLUS $86,000 Extraordinary Special Ed</t>
  </si>
  <si>
    <t>5-0-0</t>
  </si>
  <si>
    <t>Recommendation of positive Action</t>
  </si>
  <si>
    <t>Dow/Tim</t>
  </si>
  <si>
    <t>Dow/David</t>
  </si>
  <si>
    <t>Dow/Duval</t>
  </si>
  <si>
    <t>FCM Guidelines 2.75% Based on 03/09 /22 BUDGET</t>
  </si>
  <si>
    <t>Recommendation of positive Action of total Public Works</t>
  </si>
  <si>
    <t>Recommendation of positive Action of total Human Services</t>
  </si>
  <si>
    <t>Recommendation of positive Action of total Culture &amp; Recreation</t>
  </si>
  <si>
    <t>Recommendation of positive Action of total Debt Service</t>
  </si>
  <si>
    <t>Reduction</t>
  </si>
  <si>
    <t>Recommendation of positive Action of total Unclassified</t>
  </si>
  <si>
    <t>Yearly lease includes maintenance - per Kevin</t>
  </si>
  <si>
    <t>Dow</t>
  </si>
  <si>
    <t>Duval</t>
  </si>
  <si>
    <t>KH - Amended to $3,300. Part of Regionalization. Found savings within existing Town Hall Budget.</t>
  </si>
  <si>
    <t>Tim</t>
  </si>
  <si>
    <t>David Larson - Per Kevin &amp; Chief - costs are being absorbed in "Other Budget"</t>
  </si>
  <si>
    <t>Per Jen - Replaced as used</t>
  </si>
  <si>
    <t>Per Kevin: Reduced from 10 hours to 2 hours; putting together offer letter tomorrow morning - "super excited"
Karen Dow - LY dropped Admin Assist hours back down</t>
  </si>
  <si>
    <t>David</t>
  </si>
  <si>
    <t>FCM: This requires a FCM vote due to impact on Articles 2nd &amp; 3rd.
Dick Gandt: More accurately, affects the budget but does not affect the taxes.</t>
  </si>
  <si>
    <r>
      <rPr>
        <i/>
        <strike/>
        <sz val="8"/>
        <rFont val="Calibri"/>
        <family val="2"/>
        <scheme val="minor"/>
      </rPr>
      <t>Re-align accnts</t>
    </r>
    <r>
      <rPr>
        <i/>
        <sz val="8"/>
        <rFont val="Calibri"/>
        <family val="2"/>
        <scheme val="minor"/>
      </rPr>
      <t xml:space="preserve">; Per Kevin at 2/14/22 FCM Mtg; </t>
    </r>
    <r>
      <rPr>
        <i/>
        <sz val="8"/>
        <color rgb="FFFF0000"/>
        <rFont val="Calibri"/>
        <family val="2"/>
        <scheme val="minor"/>
      </rPr>
      <t>REDUCED 3/21/22</t>
    </r>
  </si>
  <si>
    <t>Contractual; based on actual; REDUCED BY $325</t>
  </si>
  <si>
    <t>Align accnts; REDUCED 3/21/22</t>
  </si>
  <si>
    <t>3/14/22 - Hold until all members available to vote
3/21/22 - Move to OVERRIDE</t>
  </si>
  <si>
    <t>3/14/22 - Hold until all members available to vote
3/21/22 - Reduced by $15,000; move to OVERRIDE
$123,347</t>
  </si>
  <si>
    <t xml:space="preserve">3/14/22 - Hold until all members available to vote
3/21/22 - KEVIN REMOVED "Read the Room"
</t>
  </si>
  <si>
    <t>7-0-0</t>
  </si>
  <si>
    <t>Jon/Dow</t>
  </si>
  <si>
    <t>Recommendation of positive Action of total Elementary Budget</t>
  </si>
  <si>
    <t>Recommendation of positive Action of total Public Safety</t>
  </si>
  <si>
    <t>REDUCED 3/21/22; reduced add'l 5k 5/28/22</t>
  </si>
  <si>
    <t>Reduced to TA on 3/28/22</t>
  </si>
  <si>
    <r>
      <t>$832 Med/$450 Psych;</t>
    </r>
    <r>
      <rPr>
        <sz val="8"/>
        <color rgb="FFFF0000"/>
        <rFont val="Calibri"/>
        <family val="2"/>
        <scheme val="minor"/>
      </rPr>
      <t xml:space="preserve"> Request Add'l  $282</t>
    </r>
    <r>
      <rPr>
        <sz val="8"/>
        <color theme="1"/>
        <rFont val="Calibri"/>
        <family val="2"/>
        <scheme val="minor"/>
      </rPr>
      <t>; reduced TA 3/28/22</t>
    </r>
  </si>
  <si>
    <t>REDUCED 3/21/22; Reduced add'l $325 3/28/22</t>
  </si>
  <si>
    <r>
      <t>2% Inc; move $10K frm OT;</t>
    </r>
    <r>
      <rPr>
        <sz val="8"/>
        <color rgb="FFFF0000"/>
        <rFont val="Calibri"/>
        <family val="2"/>
        <scheme val="minor"/>
      </rPr>
      <t xml:space="preserve"> $47k Conting Request</t>
    </r>
    <r>
      <rPr>
        <sz val="8"/>
        <rFont val="Calibri"/>
        <family val="2"/>
        <scheme val="minor"/>
      </rPr>
      <t>; 3/28 ($15k)</t>
    </r>
  </si>
  <si>
    <t>Requesting add'l $8,310; Request Reduced by $5,010</t>
  </si>
  <si>
    <t>3/14/22 - Hold until all members available to vote
David Larson - Annual Costs $13,413; New person taking over job responsiblities currently in PEG
3/28/22 - FUNDS MOVED FROM PLACE TO PLACE; PER JON CAN REMOVE FROM OVER GUIDELINES</t>
  </si>
  <si>
    <t>FINALIZED @ ATM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</si>
</sst>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44" formatCode="_(&quot;$&quot;* #,##0.00_);_(&quot;$&quot;* \(#,##0.00\);_(&quot;$&quot;* &quot;-&quot;??_);_(@_)"/>
    <numFmt numFmtId="43" formatCode="_(* #,##0.00_);_(* \(#,##0.00\);_(* &quot;-&quot;??_);_(@_)"/>
    <numFmt numFmtId="164" formatCode="0.0000%"/>
    <numFmt numFmtId="165" formatCode="m/d/yy;@"/>
    <numFmt numFmtId="166" formatCode="mm/dd/yy;@"/>
    <numFmt numFmtId="167" formatCode="&quot;$&quot;#,##0"/>
  </numFmts>
  <fonts count="1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b/>
      <sz val="10"/>
      <name val="Calibri"/>
      <family val="2"/>
      <scheme val="minor"/>
    </font>
    <font>
      <b/>
      <sz val="10"/>
      <color theme="0"/>
      <name val="Calibri"/>
      <family val="2"/>
      <scheme val="minor"/>
    </font>
    <font>
      <b/>
      <sz val="14"/>
      <color theme="0"/>
      <name val="Calibri"/>
      <family val="2"/>
      <scheme val="minor"/>
    </font>
    <font>
      <b/>
      <sz val="12"/>
      <color theme="0"/>
      <name val="Calibri"/>
      <family val="2"/>
      <scheme val="minor"/>
    </font>
    <font>
      <i/>
      <sz val="8"/>
      <color theme="1"/>
      <name val="Calibri"/>
      <family val="2"/>
      <scheme val="minor"/>
    </font>
    <font>
      <b/>
      <i/>
      <sz val="8"/>
      <color theme="0"/>
      <name val="Calibri"/>
      <family val="2"/>
      <scheme val="minor"/>
    </font>
    <font>
      <b/>
      <i/>
      <sz val="8"/>
      <color theme="1"/>
      <name val="Calibri"/>
      <family val="2"/>
      <scheme val="minor"/>
    </font>
    <font>
      <b/>
      <sz val="8"/>
      <color theme="1"/>
      <name val="Calibri"/>
      <family val="2"/>
      <scheme val="minor"/>
    </font>
    <font>
      <sz val="8"/>
      <color theme="1"/>
      <name val="Calibri"/>
      <family val="2"/>
      <scheme val="minor"/>
    </font>
    <font>
      <b/>
      <sz val="8"/>
      <color theme="0"/>
      <name val="Calibri"/>
      <family val="2"/>
      <scheme val="minor"/>
    </font>
    <font>
      <b/>
      <sz val="12"/>
      <name val="Calibri"/>
      <family val="2"/>
      <scheme val="minor"/>
    </font>
    <font>
      <b/>
      <i/>
      <sz val="8"/>
      <name val="Calibri"/>
      <family val="2"/>
      <scheme val="minor"/>
    </font>
    <font>
      <b/>
      <sz val="8"/>
      <name val="Calibri"/>
      <family val="2"/>
      <scheme val="minor"/>
    </font>
    <font>
      <u/>
      <sz val="16"/>
      <color theme="1"/>
      <name val="Calibri"/>
      <family val="2"/>
      <scheme val="minor"/>
    </font>
    <font>
      <b/>
      <sz val="10"/>
      <color rgb="FF0070C0"/>
      <name val="Calibri"/>
      <family val="2"/>
      <scheme val="minor"/>
    </font>
    <font>
      <b/>
      <sz val="14"/>
      <color theme="1"/>
      <name val="Calibri"/>
      <family val="2"/>
      <scheme val="minor"/>
    </font>
    <font>
      <sz val="10"/>
      <name val="Calibri"/>
      <family val="2"/>
      <scheme val="minor"/>
    </font>
    <font>
      <sz val="10"/>
      <color rgb="FF0070C0"/>
      <name val="Calibri"/>
      <family val="2"/>
      <scheme val="minor"/>
    </font>
    <font>
      <b/>
      <i/>
      <sz val="10"/>
      <color theme="1"/>
      <name val="Calibri"/>
      <family val="2"/>
      <scheme val="minor"/>
    </font>
    <font>
      <sz val="10"/>
      <color rgb="FFFF0000"/>
      <name val="Calibri"/>
      <family val="2"/>
      <scheme val="minor"/>
    </font>
    <font>
      <b/>
      <sz val="10"/>
      <color rgb="FFFF0000"/>
      <name val="Calibri"/>
      <family val="2"/>
      <scheme val="minor"/>
    </font>
    <font>
      <sz val="10"/>
      <color rgb="FF00B050"/>
      <name val="Calibri"/>
      <family val="2"/>
      <scheme val="minor"/>
    </font>
    <font>
      <i/>
      <sz val="10"/>
      <color theme="1"/>
      <name val="Calibri"/>
      <family val="2"/>
      <scheme val="minor"/>
    </font>
    <font>
      <b/>
      <i/>
      <sz val="10"/>
      <color theme="0"/>
      <name val="Calibri"/>
      <family val="2"/>
      <scheme val="minor"/>
    </font>
    <font>
      <b/>
      <i/>
      <sz val="10"/>
      <name val="Calibri"/>
      <family val="2"/>
      <scheme val="minor"/>
    </font>
    <font>
      <sz val="8"/>
      <color theme="1"/>
      <name val="Arial Narrow"/>
      <family val="2"/>
    </font>
    <font>
      <sz val="7"/>
      <color theme="1"/>
      <name val="Arial Narrow"/>
      <family val="2"/>
    </font>
    <font>
      <sz val="9"/>
      <color theme="1"/>
      <name val="Calibri"/>
      <family val="2"/>
      <scheme val="minor"/>
    </font>
    <font>
      <i/>
      <sz val="9"/>
      <color rgb="FF7030A0"/>
      <name val="Calibri"/>
      <family val="2"/>
      <scheme val="minor"/>
    </font>
    <font>
      <b/>
      <i/>
      <sz val="9"/>
      <color theme="5" tint="0.39997558519241921"/>
      <name val="Calibri"/>
      <family val="2"/>
      <scheme val="minor"/>
    </font>
    <font>
      <b/>
      <sz val="16"/>
      <color rgb="FF0070C0"/>
      <name val="Calibri"/>
      <family val="2"/>
      <scheme val="minor"/>
    </font>
    <font>
      <i/>
      <sz val="10"/>
      <color rgb="FF0070C0"/>
      <name val="Calibri"/>
      <family val="2"/>
      <scheme val="minor"/>
    </font>
    <font>
      <b/>
      <i/>
      <sz val="9"/>
      <color rgb="FF92D050"/>
      <name val="Calibri"/>
      <family val="2"/>
      <scheme val="minor"/>
    </font>
    <font>
      <sz val="10"/>
      <color rgb="FFFFFF00"/>
      <name val="Calibri"/>
      <family val="2"/>
      <scheme val="minor"/>
    </font>
    <font>
      <sz val="10"/>
      <color theme="1"/>
      <name val="Cambria"/>
      <family val="1"/>
      <scheme val="major"/>
    </font>
    <font>
      <sz val="16"/>
      <color theme="1"/>
      <name val="Calibri"/>
      <family val="2"/>
      <scheme val="minor"/>
    </font>
    <font>
      <sz val="10"/>
      <color theme="0"/>
      <name val="Calibri"/>
      <family val="2"/>
      <scheme val="minor"/>
    </font>
    <font>
      <sz val="8"/>
      <color rgb="FFFF0000"/>
      <name val="Calibri"/>
      <family val="2"/>
      <scheme val="minor"/>
    </font>
    <font>
      <b/>
      <sz val="8"/>
      <color rgb="FFFF0000"/>
      <name val="Calibri"/>
      <family val="2"/>
      <scheme val="minor"/>
    </font>
    <font>
      <i/>
      <sz val="10"/>
      <color theme="0"/>
      <name val="Calibri"/>
      <family val="2"/>
      <scheme val="minor"/>
    </font>
    <font>
      <i/>
      <sz val="9"/>
      <color theme="1"/>
      <name val="Calibri"/>
      <family val="2"/>
      <scheme val="minor"/>
    </font>
    <font>
      <i/>
      <sz val="10"/>
      <color rgb="FF7030A0"/>
      <name val="Calibri"/>
      <family val="2"/>
      <scheme val="minor"/>
    </font>
    <font>
      <sz val="10"/>
      <color rgb="FF7030A0"/>
      <name val="Calibri"/>
      <family val="2"/>
      <scheme val="minor"/>
    </font>
    <font>
      <b/>
      <i/>
      <sz val="10"/>
      <color rgb="FFFF0000"/>
      <name val="Calibri"/>
      <family val="2"/>
      <scheme val="minor"/>
    </font>
    <font>
      <i/>
      <sz val="10"/>
      <color rgb="FFFF0000"/>
      <name val="Calibri"/>
      <family val="2"/>
      <scheme val="minor"/>
    </font>
    <font>
      <i/>
      <sz val="9"/>
      <color rgb="FFFF0000"/>
      <name val="Calibri"/>
      <family val="2"/>
      <scheme val="minor"/>
    </font>
    <font>
      <i/>
      <sz val="8"/>
      <color rgb="FFFF0000"/>
      <name val="Calibri"/>
      <family val="2"/>
      <scheme val="minor"/>
    </font>
    <font>
      <sz val="8"/>
      <name val="Calibri"/>
      <family val="2"/>
      <scheme val="minor"/>
    </font>
    <font>
      <i/>
      <sz val="9"/>
      <name val="Calibri"/>
      <family val="2"/>
      <scheme val="minor"/>
    </font>
    <font>
      <u/>
      <sz val="11"/>
      <color theme="10"/>
      <name val="Calibri"/>
      <family val="2"/>
      <scheme val="minor"/>
    </font>
    <font>
      <sz val="10"/>
      <color rgb="FF002060"/>
      <name val="Calibri"/>
      <family val="2"/>
      <scheme val="minor"/>
    </font>
    <font>
      <strike/>
      <sz val="8"/>
      <color rgb="FFFF0000"/>
      <name val="Calibri"/>
      <family val="2"/>
      <scheme val="minor"/>
    </font>
    <font>
      <sz val="14"/>
      <color theme="1"/>
      <name val="Calibri"/>
      <family val="2"/>
      <scheme val="minor"/>
    </font>
    <font>
      <i/>
      <sz val="8"/>
      <name val="Calibri"/>
      <family val="2"/>
      <scheme val="minor"/>
    </font>
    <font>
      <sz val="8"/>
      <color rgb="FF00B050"/>
      <name val="Calibri"/>
      <family val="2"/>
      <scheme val="minor"/>
    </font>
    <font>
      <sz val="8"/>
      <color rgb="FFFF0000"/>
      <name val="Arial Narrow"/>
      <family val="2"/>
    </font>
    <font>
      <sz val="9"/>
      <name val="Calibri"/>
      <family val="2"/>
      <scheme val="minor"/>
    </font>
    <font>
      <sz val="9"/>
      <color theme="9"/>
      <name val="Calibri"/>
      <family val="2"/>
      <scheme val="minor"/>
    </font>
    <font>
      <sz val="9"/>
      <color rgb="FF7030A0"/>
      <name val="Calibri"/>
      <family val="2"/>
      <scheme val="minor"/>
    </font>
    <font>
      <sz val="9"/>
      <color theme="3" tint="0.39997558519241921"/>
      <name val="Calibri"/>
      <family val="2"/>
      <scheme val="minor"/>
    </font>
    <font>
      <sz val="9"/>
      <color rgb="FF92D050"/>
      <name val="Calibri"/>
      <family val="2"/>
      <scheme val="minor"/>
    </font>
    <font>
      <i/>
      <sz val="11"/>
      <color theme="1"/>
      <name val="Calibri"/>
      <family val="2"/>
      <scheme val="minor"/>
    </font>
    <font>
      <b/>
      <i/>
      <sz val="11"/>
      <color theme="1"/>
      <name val="Calibri"/>
      <family val="2"/>
      <scheme val="minor"/>
    </font>
    <font>
      <strike/>
      <sz val="8"/>
      <color theme="1"/>
      <name val="Calibri"/>
      <family val="2"/>
      <scheme val="minor"/>
    </font>
    <font>
      <sz val="8"/>
      <color theme="3"/>
      <name val="Calibri"/>
      <family val="2"/>
      <scheme val="minor"/>
    </font>
    <font>
      <b/>
      <i/>
      <sz val="9"/>
      <name val="Calibri"/>
      <family val="2"/>
      <scheme val="minor"/>
    </font>
    <font>
      <i/>
      <sz val="14"/>
      <color theme="1"/>
      <name val="Calibri"/>
      <family val="2"/>
      <scheme val="minor"/>
    </font>
    <font>
      <b/>
      <sz val="18"/>
      <color theme="1"/>
      <name val="Calibri"/>
      <family val="2"/>
      <scheme val="minor"/>
    </font>
    <font>
      <i/>
      <u/>
      <sz val="11"/>
      <color theme="1"/>
      <name val="Calibri"/>
      <family val="2"/>
      <scheme val="minor"/>
    </font>
    <font>
      <i/>
      <sz val="8"/>
      <color theme="0"/>
      <name val="Calibri"/>
      <family val="2"/>
      <scheme val="minor"/>
    </font>
    <font>
      <sz val="8"/>
      <color theme="0"/>
      <name val="Calibri"/>
      <family val="2"/>
      <scheme val="minor"/>
    </font>
    <font>
      <i/>
      <sz val="10"/>
      <name val="Calibri"/>
      <family val="2"/>
      <scheme val="minor"/>
    </font>
    <font>
      <sz val="8"/>
      <name val="Arial Narrow"/>
      <family val="2"/>
    </font>
    <font>
      <i/>
      <sz val="14"/>
      <color theme="0"/>
      <name val="Calibri"/>
      <family val="2"/>
      <scheme val="minor"/>
    </font>
    <font>
      <sz val="12"/>
      <color theme="0"/>
      <name val="Calibri"/>
      <family val="2"/>
      <scheme val="minor"/>
    </font>
    <font>
      <sz val="16"/>
      <color theme="0"/>
      <name val="Calibri"/>
      <family val="2"/>
      <scheme val="minor"/>
    </font>
    <font>
      <sz val="22"/>
      <color theme="1"/>
      <name val="Calibri"/>
      <family val="2"/>
      <scheme val="minor"/>
    </font>
    <font>
      <sz val="8"/>
      <color rgb="FF0070C0"/>
      <name val="Calibri"/>
      <family val="2"/>
      <scheme val="minor"/>
    </font>
    <font>
      <u/>
      <sz val="10"/>
      <color theme="1"/>
      <name val="Calibri"/>
      <family val="2"/>
      <scheme val="minor"/>
    </font>
    <font>
      <i/>
      <sz val="9"/>
      <color rgb="FF0070C0"/>
      <name val="Calibri"/>
      <family val="2"/>
      <scheme val="minor"/>
    </font>
    <font>
      <sz val="9"/>
      <color rgb="FFFF0000"/>
      <name val="Calibri"/>
      <family val="2"/>
      <scheme val="minor"/>
    </font>
    <font>
      <sz val="10"/>
      <color rgb="FF202124"/>
      <name val="Calibri"/>
      <family val="2"/>
      <scheme val="minor"/>
    </font>
    <font>
      <i/>
      <sz val="10"/>
      <color rgb="FF202124"/>
      <name val="Calibri"/>
      <family val="2"/>
      <scheme val="minor"/>
    </font>
    <font>
      <b/>
      <sz val="12"/>
      <color rgb="FFFF0000"/>
      <name val="Calibri"/>
      <family val="2"/>
      <scheme val="minor"/>
    </font>
    <font>
      <u/>
      <sz val="11"/>
      <color theme="1"/>
      <name val="Calibri"/>
      <family val="2"/>
      <scheme val="minor"/>
    </font>
    <font>
      <sz val="9"/>
      <color indexed="81"/>
      <name val="Tahoma"/>
      <family val="2"/>
    </font>
    <font>
      <b/>
      <sz val="9"/>
      <color indexed="81"/>
      <name val="Tahoma"/>
      <family val="2"/>
    </font>
    <font>
      <i/>
      <sz val="12"/>
      <color indexed="81"/>
      <name val="Calibri"/>
      <family val="2"/>
      <scheme val="minor"/>
    </font>
    <font>
      <b/>
      <sz val="11"/>
      <color theme="0" tint="-0.14999847407452621"/>
      <name val="Calibri"/>
      <family val="2"/>
      <scheme val="minor"/>
    </font>
    <font>
      <sz val="11"/>
      <color theme="0" tint="-0.14999847407452621"/>
      <name val="Calibri"/>
      <family val="2"/>
      <scheme val="minor"/>
    </font>
    <font>
      <b/>
      <sz val="9"/>
      <color theme="0"/>
      <name val="Calibri"/>
      <family val="2"/>
      <scheme val="minor"/>
    </font>
    <font>
      <i/>
      <sz val="9"/>
      <color theme="9" tint="-0.249977111117893"/>
      <name val="Calibri"/>
      <family val="2"/>
      <scheme val="minor"/>
    </font>
    <font>
      <i/>
      <strike/>
      <sz val="8"/>
      <name val="Calibri"/>
      <family val="2"/>
      <scheme val="minor"/>
    </font>
    <font>
      <sz val="9"/>
      <color rgb="FF0070C0"/>
      <name val="Calibri"/>
      <family val="2"/>
      <scheme val="minor"/>
    </font>
    <font>
      <b/>
      <sz val="9"/>
      <color rgb="FF0070C0"/>
      <name val="Calibri"/>
      <family val="2"/>
      <scheme val="minor"/>
    </font>
    <font>
      <b/>
      <sz val="11"/>
      <color rgb="FF0070C0"/>
      <name val="Calibri"/>
      <family val="2"/>
      <scheme val="minor"/>
    </font>
    <font>
      <strike/>
      <sz val="11"/>
      <color theme="1"/>
      <name val="Calibri"/>
      <family val="2"/>
      <scheme val="minor"/>
    </font>
    <font>
      <b/>
      <sz val="14"/>
      <color rgb="FF0070C0"/>
      <name val="Calibri"/>
      <family val="2"/>
      <scheme val="minor"/>
    </font>
    <font>
      <sz val="11"/>
      <color rgb="FF0070C0"/>
      <name val="Calibri"/>
      <family val="2"/>
      <scheme val="minor"/>
    </font>
    <font>
      <strike/>
      <sz val="10"/>
      <color theme="1"/>
      <name val="Calibri"/>
      <family val="2"/>
      <scheme val="minor"/>
    </font>
    <font>
      <i/>
      <strike/>
      <sz val="8"/>
      <color rgb="FFFF0000"/>
      <name val="Calibri"/>
      <family val="2"/>
      <scheme val="minor"/>
    </font>
    <font>
      <b/>
      <i/>
      <sz val="12"/>
      <color theme="1"/>
      <name val="Calibri"/>
      <family val="2"/>
      <scheme val="minor"/>
    </font>
    <font>
      <b/>
      <i/>
      <sz val="12"/>
      <name val="Calibri"/>
      <family val="2"/>
      <scheme val="minor"/>
    </font>
  </fonts>
  <fills count="6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rgb="FFFFFF00"/>
        <bgColor indexed="64"/>
      </patternFill>
    </fill>
    <fill>
      <patternFill patternType="solid">
        <fgColor theme="1"/>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rgb="FFFFFFCC"/>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59999389629810485"/>
        <bgColor indexed="64"/>
      </patternFill>
    </fill>
    <fill>
      <patternFill patternType="solid">
        <fgColor theme="5"/>
        <bgColor indexed="64"/>
      </patternFill>
    </fill>
    <fill>
      <patternFill patternType="solid">
        <fgColor theme="7"/>
        <bgColor indexed="64"/>
      </patternFill>
    </fill>
    <fill>
      <patternFill patternType="solid">
        <fgColor rgb="FF0070C0"/>
        <bgColor indexed="64"/>
      </patternFill>
    </fill>
    <fill>
      <patternFill patternType="solid">
        <fgColor theme="4" tint="0.39997558519241921"/>
        <bgColor indexed="64"/>
      </patternFill>
    </fill>
    <fill>
      <patternFill patternType="solid">
        <fgColor rgb="FF92D050"/>
        <bgColor indexed="64"/>
      </patternFill>
    </fill>
    <fill>
      <patternFill patternType="solid">
        <fgColor theme="9"/>
        <bgColor indexed="64"/>
      </patternFill>
    </fill>
    <fill>
      <patternFill patternType="solid">
        <fgColor theme="6"/>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8"/>
        <bgColor indexed="64"/>
      </patternFill>
    </fill>
    <fill>
      <patternFill patternType="solid">
        <fgColor theme="3" tint="0.39997558519241921"/>
        <bgColor indexed="64"/>
      </patternFill>
    </fill>
    <fill>
      <patternFill patternType="solid">
        <fgColor theme="4"/>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FFFF99"/>
        <bgColor indexed="64"/>
      </patternFill>
    </fill>
    <fill>
      <patternFill patternType="solid">
        <fgColor rgb="FFFFFF66"/>
        <bgColor indexed="64"/>
      </patternFill>
    </fill>
    <fill>
      <patternFill patternType="gray0625">
        <bgColor theme="4" tint="0.59999389629810485"/>
      </patternFill>
    </fill>
    <fill>
      <patternFill patternType="gray0625">
        <bgColor theme="7" tint="0.59999389629810485"/>
      </patternFill>
    </fill>
    <fill>
      <patternFill patternType="gray0625">
        <bgColor theme="6" tint="0.59999389629810485"/>
      </patternFill>
    </fill>
    <fill>
      <patternFill patternType="darkVertical">
        <bgColor theme="4" tint="0.59999389629810485"/>
      </patternFill>
    </fill>
    <fill>
      <patternFill patternType="solid">
        <fgColor rgb="FFFF66FF"/>
        <bgColor indexed="64"/>
      </patternFill>
    </fill>
    <fill>
      <patternFill patternType="solid">
        <fgColor rgb="FF00B050"/>
        <bgColor indexed="64"/>
      </patternFill>
    </fill>
    <fill>
      <patternFill patternType="solid">
        <fgColor theme="0" tint="-4.9989318521683403E-2"/>
        <bgColor indexed="64"/>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
      <left/>
      <right/>
      <top style="thin">
        <color indexed="64"/>
      </top>
      <bottom style="medium">
        <color indexed="64"/>
      </bottom>
      <diagonal/>
    </border>
    <border>
      <left/>
      <right/>
      <top style="thin">
        <color indexed="64"/>
      </top>
      <bottom style="double">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69" fillId="0" borderId="0" applyNumberFormat="0" applyFill="0" applyBorder="0" applyAlignment="0" applyProtection="0"/>
    <xf numFmtId="9" fontId="1" fillId="0" borderId="0" applyFont="0" applyFill="0" applyBorder="0" applyAlignment="0" applyProtection="0"/>
  </cellStyleXfs>
  <cellXfs count="1017">
    <xf numFmtId="0" fontId="0" fillId="0" borderId="0" xfId="0"/>
    <xf numFmtId="0" fontId="18" fillId="0" borderId="0" xfId="0" applyFont="1" applyFill="1" applyAlignment="1">
      <alignment vertical="center"/>
    </xf>
    <xf numFmtId="0" fontId="21" fillId="38" borderId="0" xfId="0" applyFont="1" applyFill="1" applyAlignment="1">
      <alignment vertical="center"/>
    </xf>
    <xf numFmtId="0" fontId="18" fillId="0" borderId="0" xfId="0" applyFont="1" applyAlignment="1">
      <alignment vertical="center"/>
    </xf>
    <xf numFmtId="0" fontId="19" fillId="33" borderId="0" xfId="0" applyFont="1" applyFill="1" applyAlignment="1">
      <alignment vertical="center"/>
    </xf>
    <xf numFmtId="0" fontId="19" fillId="37" borderId="0" xfId="0" applyFont="1" applyFill="1" applyAlignment="1">
      <alignment vertical="center"/>
    </xf>
    <xf numFmtId="0" fontId="18" fillId="0" borderId="0" xfId="0" applyFont="1" applyFill="1" applyBorder="1" applyAlignment="1">
      <alignment vertical="center"/>
    </xf>
    <xf numFmtId="0" fontId="18" fillId="0" borderId="0" xfId="0" applyFont="1" applyBorder="1" applyAlignment="1">
      <alignment vertical="center"/>
    </xf>
    <xf numFmtId="0" fontId="19" fillId="36" borderId="0" xfId="0" applyFont="1" applyFill="1" applyAlignment="1">
      <alignment vertical="center"/>
    </xf>
    <xf numFmtId="0" fontId="19" fillId="0" borderId="0" xfId="0" applyFont="1" applyFill="1" applyAlignment="1">
      <alignment vertical="center"/>
    </xf>
    <xf numFmtId="0" fontId="21" fillId="0" borderId="0" xfId="0" applyFont="1" applyFill="1" applyAlignment="1">
      <alignment vertical="center"/>
    </xf>
    <xf numFmtId="0" fontId="18" fillId="0" borderId="0" xfId="0" applyFont="1" applyAlignment="1">
      <alignment horizontal="center" vertical="center"/>
    </xf>
    <xf numFmtId="0" fontId="18" fillId="0" borderId="0" xfId="0" applyFont="1" applyFill="1" applyAlignment="1">
      <alignment horizontal="center" vertical="center"/>
    </xf>
    <xf numFmtId="43" fontId="18" fillId="0" borderId="0" xfId="0" applyNumberFormat="1" applyFont="1" applyFill="1" applyAlignment="1">
      <alignment horizontal="center" vertical="center"/>
    </xf>
    <xf numFmtId="0" fontId="23" fillId="38" borderId="0" xfId="0" applyFont="1" applyFill="1" applyAlignment="1">
      <alignment horizontal="left" vertical="center"/>
    </xf>
    <xf numFmtId="43" fontId="21" fillId="38" borderId="0" xfId="0" applyNumberFormat="1" applyFont="1" applyFill="1" applyAlignment="1">
      <alignment vertical="center"/>
    </xf>
    <xf numFmtId="43" fontId="18" fillId="0" borderId="0" xfId="0" applyNumberFormat="1" applyFont="1" applyAlignment="1">
      <alignment vertical="center"/>
    </xf>
    <xf numFmtId="0" fontId="19" fillId="33" borderId="0" xfId="0" applyFont="1" applyFill="1" applyAlignment="1">
      <alignment horizontal="center" vertical="center"/>
    </xf>
    <xf numFmtId="43" fontId="19" fillId="33" borderId="0" xfId="0" applyNumberFormat="1" applyFont="1" applyFill="1" applyAlignment="1">
      <alignment vertical="center"/>
    </xf>
    <xf numFmtId="0" fontId="19" fillId="0" borderId="0" xfId="0" applyFont="1" applyAlignment="1">
      <alignment vertical="center"/>
    </xf>
    <xf numFmtId="0" fontId="19" fillId="37" borderId="0" xfId="0" applyFont="1" applyFill="1" applyAlignment="1">
      <alignment horizontal="center" vertical="center"/>
    </xf>
    <xf numFmtId="0" fontId="19" fillId="37" borderId="0" xfId="0" applyFont="1" applyFill="1" applyAlignment="1">
      <alignment horizontal="right" vertical="center"/>
    </xf>
    <xf numFmtId="43" fontId="19" fillId="37" borderId="0" xfId="0" applyNumberFormat="1" applyFont="1" applyFill="1" applyAlignment="1">
      <alignment vertical="center"/>
    </xf>
    <xf numFmtId="0" fontId="18" fillId="0" borderId="0" xfId="0" applyFont="1" applyBorder="1" applyAlignment="1">
      <alignment horizontal="center" vertical="center"/>
    </xf>
    <xf numFmtId="43" fontId="18" fillId="0" borderId="10" xfId="0" applyNumberFormat="1" applyFont="1" applyBorder="1" applyAlignment="1">
      <alignment vertical="center"/>
    </xf>
    <xf numFmtId="0" fontId="18" fillId="0" borderId="0" xfId="0" applyFont="1" applyFill="1" applyBorder="1" applyAlignment="1">
      <alignment horizontal="center" vertical="center"/>
    </xf>
    <xf numFmtId="43" fontId="18" fillId="0" borderId="0" xfId="0" applyNumberFormat="1" applyFont="1" applyFill="1" applyAlignment="1">
      <alignment vertical="center"/>
    </xf>
    <xf numFmtId="0" fontId="19" fillId="36" borderId="0" xfId="0" applyFont="1" applyFill="1" applyAlignment="1">
      <alignment horizontal="center" vertical="center"/>
    </xf>
    <xf numFmtId="43" fontId="19" fillId="36" borderId="0" xfId="0" applyNumberFormat="1" applyFont="1" applyFill="1" applyAlignment="1">
      <alignment vertical="center"/>
    </xf>
    <xf numFmtId="0" fontId="19" fillId="0" borderId="0" xfId="0" applyFont="1" applyFill="1" applyAlignment="1">
      <alignment horizontal="center" vertical="center"/>
    </xf>
    <xf numFmtId="43" fontId="19" fillId="0" borderId="0" xfId="0" applyNumberFormat="1" applyFont="1" applyFill="1" applyAlignment="1">
      <alignment vertical="center"/>
    </xf>
    <xf numFmtId="43" fontId="18" fillId="0" borderId="0" xfId="0" applyNumberFormat="1" applyFont="1" applyBorder="1" applyAlignment="1">
      <alignment vertical="center"/>
    </xf>
    <xf numFmtId="43" fontId="18" fillId="0" borderId="11" xfId="0" applyNumberFormat="1" applyFont="1" applyBorder="1" applyAlignment="1">
      <alignment vertical="center"/>
    </xf>
    <xf numFmtId="0" fontId="23" fillId="0" borderId="0" xfId="0" applyFont="1" applyFill="1" applyAlignment="1">
      <alignment horizontal="left" vertical="center"/>
    </xf>
    <xf numFmtId="43" fontId="21" fillId="0" borderId="0" xfId="0" applyNumberFormat="1" applyFont="1" applyFill="1" applyAlignment="1">
      <alignment vertical="center"/>
    </xf>
    <xf numFmtId="0" fontId="24" fillId="0" borderId="0" xfId="0" applyFont="1" applyFill="1" applyAlignment="1">
      <alignment horizontal="center" vertical="center"/>
    </xf>
    <xf numFmtId="0" fontId="25" fillId="38" borderId="0" xfId="0" applyFont="1" applyFill="1" applyAlignment="1">
      <alignment horizontal="center" vertical="center"/>
    </xf>
    <xf numFmtId="0" fontId="24" fillId="0" borderId="0" xfId="0" applyFont="1" applyAlignment="1">
      <alignment horizontal="center" vertical="center"/>
    </xf>
    <xf numFmtId="0" fontId="26" fillId="33" borderId="0" xfId="0" applyFont="1" applyFill="1" applyAlignment="1">
      <alignment horizontal="center" vertical="center"/>
    </xf>
    <xf numFmtId="0" fontId="26" fillId="37" borderId="0" xfId="0" applyFont="1" applyFill="1" applyAlignment="1">
      <alignment horizontal="center" vertical="center"/>
    </xf>
    <xf numFmtId="0" fontId="24" fillId="0" borderId="0" xfId="0" applyFont="1" applyBorder="1" applyAlignment="1">
      <alignment horizontal="center" vertical="center"/>
    </xf>
    <xf numFmtId="0" fontId="24" fillId="0" borderId="0" xfId="0" applyFont="1" applyFill="1" applyBorder="1" applyAlignment="1">
      <alignment horizontal="center" vertical="center"/>
    </xf>
    <xf numFmtId="0" fontId="26" fillId="36" borderId="0" xfId="0" applyFont="1" applyFill="1" applyAlignment="1">
      <alignment horizontal="center" vertical="center"/>
    </xf>
    <xf numFmtId="0" fontId="26" fillId="0" borderId="0" xfId="0" applyFont="1" applyFill="1" applyAlignment="1">
      <alignment horizontal="center" vertical="center"/>
    </xf>
    <xf numFmtId="0" fontId="25" fillId="0" borderId="0" xfId="0" applyFont="1" applyFill="1" applyAlignment="1">
      <alignment horizontal="center" vertical="center"/>
    </xf>
    <xf numFmtId="43" fontId="19" fillId="0" borderId="0" xfId="0" applyNumberFormat="1" applyFont="1" applyFill="1" applyAlignment="1">
      <alignment horizontal="center" vertical="center"/>
    </xf>
    <xf numFmtId="0" fontId="27" fillId="0" borderId="0" xfId="0" applyFont="1" applyFill="1" applyAlignment="1">
      <alignment horizontal="center" vertical="center"/>
    </xf>
    <xf numFmtId="0" fontId="28" fillId="0" borderId="0" xfId="0" applyFont="1" applyFill="1" applyAlignment="1">
      <alignment horizontal="center" vertical="center"/>
    </xf>
    <xf numFmtId="0" fontId="29" fillId="38" borderId="0" xfId="0" applyFont="1" applyFill="1" applyAlignment="1">
      <alignment horizontal="center" vertical="center"/>
    </xf>
    <xf numFmtId="0" fontId="28" fillId="0" borderId="0" xfId="0" applyFont="1" applyAlignment="1">
      <alignment horizontal="center" vertical="center"/>
    </xf>
    <xf numFmtId="0" fontId="27" fillId="33" borderId="0" xfId="0" applyFont="1" applyFill="1" applyAlignment="1">
      <alignment horizontal="center" vertical="center"/>
    </xf>
    <xf numFmtId="0" fontId="27" fillId="37" borderId="0" xfId="0" applyFont="1" applyFill="1" applyAlignment="1">
      <alignment horizontal="center" vertical="center"/>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27" fillId="36" borderId="0" xfId="0" applyFont="1" applyFill="1" applyAlignment="1">
      <alignment horizontal="center" vertical="center"/>
    </xf>
    <xf numFmtId="0" fontId="29" fillId="0" borderId="0" xfId="0" applyFont="1" applyFill="1" applyAlignment="1">
      <alignment horizontal="center" vertical="center"/>
    </xf>
    <xf numFmtId="0" fontId="19" fillId="36" borderId="0" xfId="0" applyFont="1" applyFill="1" applyAlignment="1">
      <alignment horizontal="right" vertical="center"/>
    </xf>
    <xf numFmtId="0" fontId="19" fillId="36" borderId="0" xfId="0" applyFont="1" applyFill="1" applyAlignment="1">
      <alignment horizontal="left" vertical="center"/>
    </xf>
    <xf numFmtId="0" fontId="23" fillId="35" borderId="0" xfId="0" applyFont="1" applyFill="1" applyAlignment="1">
      <alignment horizontal="left" vertical="center"/>
    </xf>
    <xf numFmtId="0" fontId="21" fillId="35" borderId="0" xfId="0" applyFont="1" applyFill="1" applyAlignment="1">
      <alignment vertical="center"/>
    </xf>
    <xf numFmtId="0" fontId="25" fillId="35" borderId="0" xfId="0" applyFont="1" applyFill="1" applyAlignment="1">
      <alignment horizontal="center" vertical="center"/>
    </xf>
    <xf numFmtId="0" fontId="29" fillId="35" borderId="0" xfId="0" applyFont="1" applyFill="1" applyAlignment="1">
      <alignment horizontal="center" vertical="center"/>
    </xf>
    <xf numFmtId="43" fontId="21" fillId="35" borderId="0" xfId="0" applyNumberFormat="1" applyFont="1" applyFill="1" applyAlignment="1">
      <alignment vertical="center"/>
    </xf>
    <xf numFmtId="0" fontId="22" fillId="35" borderId="0" xfId="0" applyFont="1" applyFill="1" applyAlignment="1">
      <alignment horizontal="left" vertical="center"/>
    </xf>
    <xf numFmtId="0" fontId="22" fillId="0" borderId="0" xfId="0" applyFont="1" applyFill="1" applyAlignment="1">
      <alignment horizontal="left" vertical="center"/>
    </xf>
    <xf numFmtId="0" fontId="30" fillId="0" borderId="12" xfId="0" applyFont="1" applyFill="1" applyBorder="1" applyAlignment="1">
      <alignment horizontal="left" vertical="center"/>
    </xf>
    <xf numFmtId="0" fontId="20" fillId="0" borderId="12" xfId="0" applyFont="1" applyFill="1" applyBorder="1" applyAlignment="1">
      <alignment vertical="center"/>
    </xf>
    <xf numFmtId="0" fontId="31" fillId="0" borderId="12" xfId="0" applyFont="1" applyFill="1" applyBorder="1" applyAlignment="1">
      <alignment horizontal="center" vertical="center"/>
    </xf>
    <xf numFmtId="0" fontId="32" fillId="0" borderId="12" xfId="0" applyFont="1" applyFill="1" applyBorder="1" applyAlignment="1">
      <alignment horizontal="center" vertical="center"/>
    </xf>
    <xf numFmtId="43" fontId="20" fillId="0" borderId="12" xfId="0" applyNumberFormat="1" applyFont="1" applyFill="1" applyBorder="1" applyAlignment="1">
      <alignment vertical="center"/>
    </xf>
    <xf numFmtId="0" fontId="30" fillId="0" borderId="13" xfId="0" applyFont="1" applyFill="1" applyBorder="1" applyAlignment="1">
      <alignment horizontal="left" vertical="center"/>
    </xf>
    <xf numFmtId="0" fontId="20" fillId="0" borderId="13" xfId="0" applyFont="1" applyFill="1" applyBorder="1" applyAlignment="1">
      <alignment vertical="center"/>
    </xf>
    <xf numFmtId="0" fontId="31" fillId="0" borderId="13" xfId="0" applyFont="1" applyFill="1" applyBorder="1" applyAlignment="1">
      <alignment horizontal="center" vertical="center"/>
    </xf>
    <xf numFmtId="0" fontId="32" fillId="0" borderId="13" xfId="0" applyFont="1" applyFill="1" applyBorder="1" applyAlignment="1">
      <alignment horizontal="center" vertical="center"/>
    </xf>
    <xf numFmtId="43" fontId="20" fillId="0" borderId="13" xfId="0" applyNumberFormat="1" applyFont="1" applyFill="1" applyBorder="1" applyAlignment="1">
      <alignment vertical="center"/>
    </xf>
    <xf numFmtId="0" fontId="18" fillId="0" borderId="0" xfId="0" applyFont="1" applyFill="1" applyBorder="1" applyAlignment="1">
      <alignment horizontal="right" vertical="center" indent="1"/>
    </xf>
    <xf numFmtId="0" fontId="19" fillId="36" borderId="0" xfId="0" applyFont="1" applyFill="1" applyBorder="1" applyAlignment="1">
      <alignment vertical="center"/>
    </xf>
    <xf numFmtId="43" fontId="19" fillId="36" borderId="0" xfId="0" applyNumberFormat="1" applyFont="1" applyFill="1" applyBorder="1" applyAlignment="1">
      <alignment vertical="center"/>
    </xf>
    <xf numFmtId="0" fontId="19" fillId="0" borderId="0" xfId="0" applyFont="1" applyFill="1" applyBorder="1" applyAlignment="1">
      <alignment vertical="center"/>
    </xf>
    <xf numFmtId="43" fontId="19" fillId="0" borderId="0" xfId="0" applyNumberFormat="1" applyFont="1" applyFill="1" applyBorder="1" applyAlignment="1">
      <alignment vertical="center"/>
    </xf>
    <xf numFmtId="0" fontId="19" fillId="37" borderId="0" xfId="0" applyFont="1" applyFill="1" applyBorder="1" applyAlignment="1">
      <alignment horizontal="right" vertical="center"/>
    </xf>
    <xf numFmtId="43" fontId="19" fillId="37" borderId="0" xfId="0" applyNumberFormat="1" applyFont="1" applyFill="1" applyBorder="1" applyAlignment="1">
      <alignment vertical="center"/>
    </xf>
    <xf numFmtId="0" fontId="21" fillId="38" borderId="0" xfId="0" applyFont="1" applyFill="1" applyBorder="1" applyAlignment="1">
      <alignment vertical="center"/>
    </xf>
    <xf numFmtId="43" fontId="21" fillId="38" borderId="0" xfId="0" applyNumberFormat="1" applyFont="1" applyFill="1" applyBorder="1" applyAlignment="1">
      <alignment vertical="center"/>
    </xf>
    <xf numFmtId="0" fontId="0" fillId="0" borderId="0" xfId="0"/>
    <xf numFmtId="0" fontId="18" fillId="0" borderId="0" xfId="0" applyFont="1" applyAlignment="1">
      <alignment horizontal="center"/>
    </xf>
    <xf numFmtId="0" fontId="0" fillId="0" borderId="11" xfId="0" applyBorder="1"/>
    <xf numFmtId="0" fontId="0" fillId="0" borderId="0" xfId="0" applyBorder="1"/>
    <xf numFmtId="44" fontId="0" fillId="0" borderId="11" xfId="42" applyFont="1" applyBorder="1"/>
    <xf numFmtId="0" fontId="0" fillId="0" borderId="12" xfId="0" applyBorder="1"/>
    <xf numFmtId="44" fontId="0" fillId="0" borderId="12" xfId="42" applyFont="1" applyBorder="1"/>
    <xf numFmtId="0" fontId="0" fillId="0" borderId="0" xfId="0" applyAlignment="1">
      <alignment horizontal="right"/>
    </xf>
    <xf numFmtId="44" fontId="0" fillId="0" borderId="14" xfId="0" applyNumberFormat="1" applyBorder="1"/>
    <xf numFmtId="0" fontId="16" fillId="0" borderId="0" xfId="0" applyFont="1"/>
    <xf numFmtId="0" fontId="19" fillId="36" borderId="0" xfId="0" applyFont="1" applyFill="1" applyBorder="1" applyAlignment="1">
      <alignment horizontal="center" vertical="center"/>
    </xf>
    <xf numFmtId="0" fontId="26" fillId="36" borderId="0" xfId="0" applyFont="1" applyFill="1" applyBorder="1" applyAlignment="1">
      <alignment horizontal="center" vertical="center"/>
    </xf>
    <xf numFmtId="0" fontId="27" fillId="36" borderId="0" xfId="0" applyFont="1" applyFill="1" applyBorder="1" applyAlignment="1">
      <alignment horizontal="center" vertical="center"/>
    </xf>
    <xf numFmtId="0" fontId="19" fillId="0" borderId="0" xfId="0" applyFont="1" applyBorder="1" applyAlignment="1">
      <alignment vertical="center"/>
    </xf>
    <xf numFmtId="0" fontId="19"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19" fillId="37" borderId="0" xfId="0" applyFont="1" applyFill="1" applyBorder="1" applyAlignment="1">
      <alignment horizontal="center" vertical="center"/>
    </xf>
    <xf numFmtId="0" fontId="19" fillId="37" borderId="0" xfId="0" applyFont="1" applyFill="1" applyBorder="1" applyAlignment="1">
      <alignment vertical="center"/>
    </xf>
    <xf numFmtId="0" fontId="26" fillId="37" borderId="0" xfId="0" applyFont="1" applyFill="1" applyBorder="1" applyAlignment="1">
      <alignment horizontal="center" vertical="center"/>
    </xf>
    <xf numFmtId="0" fontId="27" fillId="37" borderId="0" xfId="0" applyFont="1" applyFill="1" applyBorder="1" applyAlignment="1">
      <alignment horizontal="center" vertical="center"/>
    </xf>
    <xf numFmtId="0" fontId="23" fillId="38" borderId="0" xfId="0" applyFont="1" applyFill="1" applyBorder="1" applyAlignment="1">
      <alignment horizontal="left" vertical="center"/>
    </xf>
    <xf numFmtId="0" fontId="25" fillId="38" borderId="0" xfId="0" applyFont="1" applyFill="1" applyBorder="1" applyAlignment="1">
      <alignment horizontal="center" vertical="center"/>
    </xf>
    <xf numFmtId="0" fontId="29" fillId="38" borderId="0" xfId="0" applyFont="1" applyFill="1" applyBorder="1" applyAlignment="1">
      <alignment horizontal="center" vertical="center"/>
    </xf>
    <xf numFmtId="0" fontId="19" fillId="36" borderId="0" xfId="0" applyFont="1" applyFill="1" applyBorder="1" applyAlignment="1">
      <alignment horizontal="right" vertical="center"/>
    </xf>
    <xf numFmtId="0" fontId="19" fillId="36" borderId="0" xfId="0" applyFont="1" applyFill="1" applyBorder="1" applyAlignment="1">
      <alignment horizontal="left" vertical="center"/>
    </xf>
    <xf numFmtId="43" fontId="0" fillId="0" borderId="0" xfId="0" applyNumberFormat="1"/>
    <xf numFmtId="44" fontId="0" fillId="0" borderId="0" xfId="0" applyNumberFormat="1" applyBorder="1"/>
    <xf numFmtId="44" fontId="0" fillId="0" borderId="0" xfId="0" applyNumberFormat="1"/>
    <xf numFmtId="0" fontId="19" fillId="0" borderId="0" xfId="0" applyFont="1" applyFill="1" applyAlignment="1">
      <alignment horizontal="center" vertical="center" wrapText="1"/>
    </xf>
    <xf numFmtId="0" fontId="26" fillId="0" borderId="0" xfId="0" applyFont="1" applyFill="1" applyAlignment="1">
      <alignment horizontal="center" vertical="center" wrapText="1"/>
    </xf>
    <xf numFmtId="0" fontId="27" fillId="0" borderId="0" xfId="0" applyFont="1" applyFill="1" applyAlignment="1">
      <alignment horizontal="center" vertical="center" wrapText="1"/>
    </xf>
    <xf numFmtId="43" fontId="19" fillId="0" borderId="0" xfId="0" applyNumberFormat="1" applyFont="1" applyFill="1" applyAlignment="1">
      <alignment horizontal="center" vertical="center" wrapText="1"/>
    </xf>
    <xf numFmtId="43" fontId="18" fillId="39" borderId="0" xfId="0" applyNumberFormat="1" applyFont="1" applyFill="1" applyAlignment="1">
      <alignment vertical="center"/>
    </xf>
    <xf numFmtId="43" fontId="18" fillId="39" borderId="10" xfId="0" applyNumberFormat="1" applyFont="1" applyFill="1" applyBorder="1" applyAlignment="1">
      <alignment vertical="center"/>
    </xf>
    <xf numFmtId="10" fontId="24" fillId="0" borderId="0" xfId="0" applyNumberFormat="1" applyFont="1" applyFill="1" applyAlignment="1">
      <alignment horizontal="center" vertical="center"/>
    </xf>
    <xf numFmtId="10" fontId="25" fillId="35" borderId="0" xfId="0" applyNumberFormat="1" applyFont="1" applyFill="1" applyAlignment="1">
      <alignment vertical="center"/>
    </xf>
    <xf numFmtId="10" fontId="25" fillId="38" borderId="0" xfId="0" applyNumberFormat="1" applyFont="1" applyFill="1" applyAlignment="1">
      <alignment vertical="center"/>
    </xf>
    <xf numFmtId="10" fontId="24" fillId="0" borderId="0" xfId="0" applyNumberFormat="1" applyFont="1" applyAlignment="1">
      <alignment vertical="center"/>
    </xf>
    <xf numFmtId="10" fontId="26" fillId="36" borderId="0" xfId="0" applyNumberFormat="1" applyFont="1" applyFill="1" applyAlignment="1">
      <alignment vertical="center"/>
    </xf>
    <xf numFmtId="10" fontId="26" fillId="37" borderId="0" xfId="0" applyNumberFormat="1" applyFont="1" applyFill="1" applyAlignment="1">
      <alignment vertical="center"/>
    </xf>
    <xf numFmtId="10" fontId="24" fillId="0" borderId="0" xfId="0" applyNumberFormat="1" applyFont="1" applyFill="1" applyAlignment="1">
      <alignment vertical="center"/>
    </xf>
    <xf numFmtId="10" fontId="26" fillId="0" borderId="0" xfId="0" applyNumberFormat="1" applyFont="1" applyFill="1" applyAlignment="1">
      <alignment vertical="center"/>
    </xf>
    <xf numFmtId="10" fontId="24" fillId="0" borderId="10" xfId="0" applyNumberFormat="1" applyFont="1" applyBorder="1" applyAlignment="1">
      <alignment vertical="center"/>
    </xf>
    <xf numFmtId="10" fontId="24" fillId="0" borderId="11" xfId="0" applyNumberFormat="1" applyFont="1" applyBorder="1" applyAlignment="1">
      <alignment vertical="center"/>
    </xf>
    <xf numFmtId="10" fontId="25" fillId="0" borderId="0" xfId="0" applyNumberFormat="1" applyFont="1" applyFill="1" applyAlignment="1">
      <alignment vertical="center"/>
    </xf>
    <xf numFmtId="10" fontId="31" fillId="0" borderId="12" xfId="0" applyNumberFormat="1" applyFont="1" applyFill="1" applyBorder="1" applyAlignment="1">
      <alignment vertical="center"/>
    </xf>
    <xf numFmtId="43" fontId="28" fillId="39" borderId="0" xfId="0" applyNumberFormat="1" applyFont="1" applyFill="1" applyAlignment="1">
      <alignment vertical="center"/>
    </xf>
    <xf numFmtId="43" fontId="29" fillId="35" borderId="0" xfId="0" applyNumberFormat="1" applyFont="1" applyFill="1" applyAlignment="1">
      <alignment vertical="center"/>
    </xf>
    <xf numFmtId="43" fontId="29" fillId="38" borderId="0" xfId="0" applyNumberFormat="1" applyFont="1" applyFill="1" applyAlignment="1">
      <alignment vertical="center"/>
    </xf>
    <xf numFmtId="43" fontId="27" fillId="33" borderId="0" xfId="0" applyNumberFormat="1" applyFont="1" applyFill="1" applyAlignment="1">
      <alignment vertical="center"/>
    </xf>
    <xf numFmtId="43" fontId="28" fillId="0" borderId="0" xfId="0" applyNumberFormat="1" applyFont="1" applyAlignment="1">
      <alignment vertical="center"/>
    </xf>
    <xf numFmtId="43" fontId="27" fillId="37" borderId="0" xfId="0" applyNumberFormat="1" applyFont="1" applyFill="1" applyAlignment="1">
      <alignment vertical="center"/>
    </xf>
    <xf numFmtId="43" fontId="28" fillId="39" borderId="10" xfId="0" applyNumberFormat="1" applyFont="1" applyFill="1" applyBorder="1" applyAlignment="1">
      <alignment vertical="center"/>
    </xf>
    <xf numFmtId="43" fontId="28" fillId="0" borderId="0" xfId="0" applyNumberFormat="1" applyFont="1" applyFill="1" applyAlignment="1">
      <alignment vertical="center"/>
    </xf>
    <xf numFmtId="43" fontId="27" fillId="36" borderId="0" xfId="0" applyNumberFormat="1" applyFont="1" applyFill="1" applyAlignment="1">
      <alignment vertical="center"/>
    </xf>
    <xf numFmtId="43" fontId="27" fillId="0" borderId="0" xfId="0" applyNumberFormat="1" applyFont="1" applyFill="1" applyAlignment="1">
      <alignment vertical="center"/>
    </xf>
    <xf numFmtId="43" fontId="28" fillId="0" borderId="11" xfId="0" applyNumberFormat="1" applyFont="1" applyBorder="1" applyAlignment="1">
      <alignment vertical="center"/>
    </xf>
    <xf numFmtId="43" fontId="29" fillId="0" borderId="0" xfId="0" applyNumberFormat="1" applyFont="1" applyFill="1" applyAlignment="1">
      <alignment vertical="center"/>
    </xf>
    <xf numFmtId="43" fontId="32" fillId="0" borderId="12" xfId="0" applyNumberFormat="1" applyFont="1" applyFill="1" applyBorder="1" applyAlignment="1">
      <alignment vertical="center"/>
    </xf>
    <xf numFmtId="43" fontId="18" fillId="0" borderId="10" xfId="0" applyNumberFormat="1" applyFont="1" applyFill="1" applyBorder="1" applyAlignment="1">
      <alignment vertical="center"/>
    </xf>
    <xf numFmtId="43" fontId="18" fillId="0" borderId="11" xfId="0" applyNumberFormat="1" applyFont="1" applyFill="1" applyBorder="1" applyAlignment="1">
      <alignment vertical="center"/>
    </xf>
    <xf numFmtId="43" fontId="18" fillId="0" borderId="0" xfId="0" applyNumberFormat="1" applyFont="1" applyFill="1" applyBorder="1" applyAlignment="1">
      <alignment vertical="center"/>
    </xf>
    <xf numFmtId="43" fontId="18" fillId="39" borderId="0" xfId="0" applyNumberFormat="1" applyFont="1" applyFill="1" applyBorder="1" applyAlignment="1">
      <alignment vertical="center"/>
    </xf>
    <xf numFmtId="10" fontId="24" fillId="0" borderId="0" xfId="0" applyNumberFormat="1" applyFont="1" applyBorder="1" applyAlignment="1">
      <alignment vertical="center"/>
    </xf>
    <xf numFmtId="43" fontId="28" fillId="39" borderId="0" xfId="0" applyNumberFormat="1" applyFont="1" applyFill="1" applyBorder="1" applyAlignment="1">
      <alignment vertical="center"/>
    </xf>
    <xf numFmtId="0" fontId="0" fillId="0" borderId="0" xfId="0" applyFont="1" applyAlignment="1">
      <alignment vertical="center"/>
    </xf>
    <xf numFmtId="0" fontId="0" fillId="0" borderId="0" xfId="0" applyFont="1" applyAlignment="1">
      <alignment horizontal="center" vertical="center" wrapText="1"/>
    </xf>
    <xf numFmtId="43" fontId="27" fillId="39" borderId="0" xfId="0" applyNumberFormat="1" applyFont="1" applyFill="1" applyAlignment="1">
      <alignment vertical="center"/>
    </xf>
    <xf numFmtId="0" fontId="0" fillId="0" borderId="0" xfId="0" applyFont="1" applyBorder="1" applyAlignment="1">
      <alignment horizontal="center" vertical="center"/>
    </xf>
    <xf numFmtId="7" fontId="0" fillId="0" borderId="0" xfId="43" applyNumberFormat="1" applyFont="1" applyBorder="1" applyAlignment="1">
      <alignment horizontal="center" vertical="center" wrapText="1"/>
    </xf>
    <xf numFmtId="7" fontId="0" fillId="0" borderId="15" xfId="43" applyNumberFormat="1" applyFont="1" applyBorder="1" applyAlignment="1">
      <alignment horizontal="center" vertical="center" wrapText="1"/>
    </xf>
    <xf numFmtId="7" fontId="0" fillId="0" borderId="17" xfId="43" applyNumberFormat="1" applyFont="1" applyBorder="1" applyAlignment="1">
      <alignment horizontal="center" vertical="center" wrapText="1"/>
    </xf>
    <xf numFmtId="0" fontId="28" fillId="0" borderId="0" xfId="0" applyFont="1" applyAlignment="1">
      <alignment vertical="center"/>
    </xf>
    <xf numFmtId="0" fontId="28" fillId="0" borderId="0" xfId="0" applyFont="1" applyFill="1" applyAlignment="1">
      <alignment vertical="center"/>
    </xf>
    <xf numFmtId="0" fontId="27" fillId="0" borderId="0" xfId="0" applyFont="1" applyAlignment="1">
      <alignment vertical="center"/>
    </xf>
    <xf numFmtId="0" fontId="28" fillId="0" borderId="0" xfId="0" applyFont="1" applyBorder="1" applyAlignment="1">
      <alignment vertical="center"/>
    </xf>
    <xf numFmtId="0" fontId="27" fillId="0" borderId="0" xfId="0" applyFont="1" applyBorder="1" applyAlignment="1">
      <alignment vertical="center"/>
    </xf>
    <xf numFmtId="0" fontId="27" fillId="0" borderId="0" xfId="0" applyFont="1" applyFill="1" applyBorder="1" applyAlignment="1">
      <alignment vertical="center"/>
    </xf>
    <xf numFmtId="0" fontId="28" fillId="0" borderId="0" xfId="0" applyFont="1" applyFill="1" applyBorder="1" applyAlignment="1">
      <alignment vertical="center"/>
    </xf>
    <xf numFmtId="0" fontId="27" fillId="0" borderId="0" xfId="0" applyFont="1" applyFill="1" applyAlignment="1">
      <alignment vertical="center"/>
    </xf>
    <xf numFmtId="44" fontId="18" fillId="0" borderId="0" xfId="0" applyNumberFormat="1" applyFont="1"/>
    <xf numFmtId="43" fontId="36" fillId="39" borderId="0" xfId="0" applyNumberFormat="1" applyFont="1" applyFill="1" applyAlignment="1">
      <alignment vertical="center"/>
    </xf>
    <xf numFmtId="0" fontId="38" fillId="0" borderId="0" xfId="0" applyFont="1" applyAlignment="1">
      <alignment vertical="center"/>
    </xf>
    <xf numFmtId="10" fontId="24" fillId="37" borderId="0" xfId="0" applyNumberFormat="1" applyFont="1" applyFill="1" applyAlignment="1">
      <alignment vertical="center"/>
    </xf>
    <xf numFmtId="10" fontId="24" fillId="36" borderId="0" xfId="0" applyNumberFormat="1" applyFont="1" applyFill="1" applyAlignment="1">
      <alignment vertical="center"/>
    </xf>
    <xf numFmtId="0" fontId="26" fillId="0" borderId="0" xfId="0" applyFont="1" applyAlignment="1">
      <alignment horizontal="center" vertical="center"/>
    </xf>
    <xf numFmtId="10" fontId="26" fillId="0" borderId="0" xfId="0" applyNumberFormat="1" applyFont="1" applyAlignment="1">
      <alignment vertical="center"/>
    </xf>
    <xf numFmtId="0" fontId="38" fillId="0" borderId="0" xfId="0" applyFont="1" applyAlignment="1">
      <alignment horizontal="center" vertical="center"/>
    </xf>
    <xf numFmtId="43" fontId="38" fillId="0" borderId="0" xfId="0" applyNumberFormat="1" applyFont="1" applyAlignment="1">
      <alignment vertical="center"/>
    </xf>
    <xf numFmtId="43" fontId="38" fillId="0" borderId="0" xfId="0" applyNumberFormat="1" applyFont="1" applyFill="1" applyAlignment="1">
      <alignment vertical="center"/>
    </xf>
    <xf numFmtId="43" fontId="38" fillId="39" borderId="0" xfId="0" applyNumberFormat="1" applyFont="1" applyFill="1" applyAlignment="1">
      <alignment vertical="center"/>
    </xf>
    <xf numFmtId="43" fontId="26" fillId="39" borderId="0" xfId="0" applyNumberFormat="1" applyFont="1" applyFill="1" applyAlignment="1">
      <alignment vertical="center"/>
    </xf>
    <xf numFmtId="164" fontId="24" fillId="0" borderId="0" xfId="0" applyNumberFormat="1" applyFont="1" applyAlignment="1">
      <alignment vertical="center"/>
    </xf>
    <xf numFmtId="0" fontId="39" fillId="0" borderId="0" xfId="0" applyFont="1" applyAlignment="1">
      <alignment vertical="center"/>
    </xf>
    <xf numFmtId="44" fontId="0" fillId="0" borderId="0" xfId="42" applyFont="1" applyBorder="1"/>
    <xf numFmtId="0" fontId="18" fillId="0" borderId="0" xfId="0" applyFont="1" applyBorder="1" applyAlignment="1">
      <alignment horizontal="center"/>
    </xf>
    <xf numFmtId="43" fontId="0" fillId="0" borderId="0" xfId="0" applyNumberFormat="1" applyBorder="1"/>
    <xf numFmtId="44" fontId="18" fillId="0" borderId="0" xfId="0" applyNumberFormat="1" applyFont="1" applyBorder="1"/>
    <xf numFmtId="0" fontId="18" fillId="34" borderId="0" xfId="0" applyFont="1" applyFill="1" applyAlignment="1">
      <alignment horizontal="center"/>
    </xf>
    <xf numFmtId="44" fontId="0" fillId="0" borderId="0" xfId="42" applyFont="1"/>
    <xf numFmtId="43" fontId="19" fillId="39" borderId="0" xfId="0" applyNumberFormat="1" applyFont="1" applyFill="1" applyAlignment="1">
      <alignment vertical="center"/>
    </xf>
    <xf numFmtId="43" fontId="19" fillId="39" borderId="10" xfId="0" applyNumberFormat="1" applyFont="1" applyFill="1" applyBorder="1" applyAlignment="1">
      <alignment vertical="center"/>
    </xf>
    <xf numFmtId="43" fontId="19" fillId="39" borderId="0" xfId="0" applyNumberFormat="1" applyFont="1" applyFill="1" applyBorder="1" applyAlignment="1">
      <alignment vertical="center"/>
    </xf>
    <xf numFmtId="43" fontId="40" fillId="0" borderId="0" xfId="0" applyNumberFormat="1" applyFont="1" applyFill="1" applyAlignment="1">
      <alignment vertical="center"/>
    </xf>
    <xf numFmtId="0" fontId="35" fillId="0" borderId="0" xfId="0" applyFont="1" applyAlignment="1">
      <alignment vertical="center"/>
    </xf>
    <xf numFmtId="43" fontId="19" fillId="34" borderId="0" xfId="0" applyNumberFormat="1" applyFont="1" applyFill="1" applyAlignment="1">
      <alignment horizontal="center" vertical="center"/>
    </xf>
    <xf numFmtId="43" fontId="19" fillId="34" borderId="0" xfId="0" applyNumberFormat="1" applyFont="1" applyFill="1" applyAlignment="1">
      <alignment horizontal="center" vertical="center" wrapText="1"/>
    </xf>
    <xf numFmtId="43" fontId="18" fillId="34" borderId="0" xfId="0" applyNumberFormat="1" applyFont="1" applyFill="1" applyAlignment="1">
      <alignment horizontal="center" vertical="center"/>
    </xf>
    <xf numFmtId="43" fontId="38" fillId="0" borderId="0" xfId="0" applyNumberFormat="1" applyFont="1" applyFill="1" applyAlignment="1">
      <alignment horizontal="center" vertical="center" wrapText="1"/>
    </xf>
    <xf numFmtId="43" fontId="42" fillId="0" borderId="0" xfId="0" applyNumberFormat="1" applyFont="1" applyFill="1" applyAlignment="1">
      <alignment horizontal="center" vertical="center"/>
    </xf>
    <xf numFmtId="43" fontId="43" fillId="35" borderId="0" xfId="0" applyNumberFormat="1" applyFont="1" applyFill="1" applyAlignment="1">
      <alignment vertical="center"/>
    </xf>
    <xf numFmtId="43" fontId="43" fillId="38" borderId="0" xfId="0" applyNumberFormat="1" applyFont="1" applyFill="1" applyAlignment="1">
      <alignment vertical="center"/>
    </xf>
    <xf numFmtId="43" fontId="42" fillId="0" borderId="0" xfId="0" applyNumberFormat="1" applyFont="1" applyAlignment="1">
      <alignment vertical="center"/>
    </xf>
    <xf numFmtId="43" fontId="38" fillId="33" borderId="0" xfId="0" applyNumberFormat="1" applyFont="1" applyFill="1" applyAlignment="1">
      <alignment vertical="center"/>
    </xf>
    <xf numFmtId="43" fontId="38" fillId="37" borderId="0" xfId="0" applyNumberFormat="1" applyFont="1" applyFill="1" applyAlignment="1">
      <alignment vertical="center"/>
    </xf>
    <xf numFmtId="43" fontId="42" fillId="0" borderId="0" xfId="0" applyNumberFormat="1" applyFont="1" applyFill="1" applyAlignment="1">
      <alignment vertical="center"/>
    </xf>
    <xf numFmtId="43" fontId="38" fillId="36" borderId="0" xfId="0" applyNumberFormat="1" applyFont="1" applyFill="1" applyAlignment="1">
      <alignment vertical="center"/>
    </xf>
    <xf numFmtId="43" fontId="42" fillId="0" borderId="11" xfId="0" applyNumberFormat="1" applyFont="1" applyBorder="1" applyAlignment="1">
      <alignment vertical="center"/>
    </xf>
    <xf numFmtId="43" fontId="43" fillId="0" borderId="0" xfId="0" applyNumberFormat="1" applyFont="1" applyFill="1" applyAlignment="1">
      <alignment vertical="center"/>
    </xf>
    <xf numFmtId="43" fontId="19" fillId="0" borderId="10" xfId="0" applyNumberFormat="1" applyFont="1" applyFill="1" applyBorder="1" applyAlignment="1">
      <alignment vertical="center"/>
    </xf>
    <xf numFmtId="43" fontId="45" fillId="39" borderId="0" xfId="0" applyNumberFormat="1" applyFont="1" applyFill="1" applyAlignment="1">
      <alignment vertical="center"/>
    </xf>
    <xf numFmtId="43" fontId="45" fillId="39" borderId="0" xfId="0" applyNumberFormat="1" applyFont="1" applyFill="1" applyBorder="1" applyAlignment="1">
      <alignment vertical="center"/>
    </xf>
    <xf numFmtId="43" fontId="28" fillId="36" borderId="0" xfId="0" applyNumberFormat="1" applyFont="1" applyFill="1" applyAlignment="1">
      <alignment vertical="center"/>
    </xf>
    <xf numFmtId="0" fontId="35" fillId="0" borderId="15" xfId="0" applyFont="1" applyBorder="1" applyAlignment="1">
      <alignment horizontal="center" vertical="center"/>
    </xf>
    <xf numFmtId="10" fontId="26" fillId="42" borderId="12" xfId="0" applyNumberFormat="1" applyFont="1" applyFill="1" applyBorder="1" applyAlignment="1">
      <alignment vertical="center"/>
    </xf>
    <xf numFmtId="0" fontId="18" fillId="0" borderId="0" xfId="0" applyFont="1" applyFill="1" applyAlignment="1">
      <alignment horizontal="center"/>
    </xf>
    <xf numFmtId="10" fontId="0" fillId="0" borderId="0" xfId="0" applyNumberFormat="1"/>
    <xf numFmtId="43" fontId="46" fillId="39" borderId="0" xfId="0" applyNumberFormat="1" applyFont="1" applyFill="1" applyAlignment="1">
      <alignment vertical="center" wrapText="1"/>
    </xf>
    <xf numFmtId="0" fontId="14" fillId="0" borderId="10" xfId="0" applyFont="1" applyBorder="1"/>
    <xf numFmtId="10" fontId="14" fillId="0" borderId="10" xfId="0" applyNumberFormat="1" applyFont="1" applyBorder="1"/>
    <xf numFmtId="43" fontId="18" fillId="41" borderId="0" xfId="0" applyNumberFormat="1" applyFont="1" applyFill="1" applyAlignment="1">
      <alignment vertical="center"/>
    </xf>
    <xf numFmtId="43" fontId="39" fillId="39" borderId="0" xfId="0" applyNumberFormat="1" applyFont="1" applyFill="1" applyAlignment="1">
      <alignment vertical="center"/>
    </xf>
    <xf numFmtId="43" fontId="27" fillId="43" borderId="0" xfId="0" applyNumberFormat="1" applyFont="1" applyFill="1" applyAlignment="1">
      <alignment vertical="center"/>
    </xf>
    <xf numFmtId="43" fontId="19" fillId="43" borderId="0" xfId="0" applyNumberFormat="1" applyFont="1" applyFill="1" applyAlignment="1">
      <alignment vertical="center"/>
    </xf>
    <xf numFmtId="10" fontId="26" fillId="43" borderId="0" xfId="0" applyNumberFormat="1" applyFont="1" applyFill="1" applyAlignment="1">
      <alignment vertical="center"/>
    </xf>
    <xf numFmtId="10" fontId="27" fillId="37" borderId="0" xfId="0" applyNumberFormat="1" applyFont="1" applyFill="1" applyAlignment="1">
      <alignment vertical="center"/>
    </xf>
    <xf numFmtId="43" fontId="27" fillId="39" borderId="0" xfId="0" applyNumberFormat="1" applyFont="1" applyFill="1" applyBorder="1" applyAlignment="1">
      <alignment vertical="center"/>
    </xf>
    <xf numFmtId="0" fontId="40" fillId="0" borderId="0" xfId="0" applyFont="1" applyBorder="1" applyAlignment="1">
      <alignment vertical="center"/>
    </xf>
    <xf numFmtId="43" fontId="57" fillId="39" borderId="0" xfId="0" applyNumberFormat="1" applyFont="1" applyFill="1" applyBorder="1" applyAlignment="1">
      <alignment vertical="center"/>
    </xf>
    <xf numFmtId="43" fontId="58" fillId="39" borderId="0" xfId="0" applyNumberFormat="1" applyFont="1" applyFill="1" applyAlignment="1">
      <alignment vertical="center"/>
    </xf>
    <xf numFmtId="0" fontId="0" fillId="0" borderId="0" xfId="0" applyFont="1" applyAlignment="1">
      <alignment vertical="center" wrapText="1"/>
    </xf>
    <xf numFmtId="0" fontId="40" fillId="0" borderId="0" xfId="0" applyFont="1" applyAlignment="1">
      <alignment vertical="center"/>
    </xf>
    <xf numFmtId="43" fontId="57" fillId="39" borderId="10" xfId="0" applyNumberFormat="1" applyFont="1" applyFill="1" applyBorder="1" applyAlignment="1">
      <alignment vertical="center"/>
    </xf>
    <xf numFmtId="43" fontId="28" fillId="0" borderId="0" xfId="0" applyNumberFormat="1" applyFont="1" applyBorder="1" applyAlignment="1">
      <alignment vertical="center"/>
    </xf>
    <xf numFmtId="43" fontId="21" fillId="44" borderId="0" xfId="0" applyNumberFormat="1" applyFont="1" applyFill="1" applyAlignment="1">
      <alignment horizontal="center" vertical="center"/>
    </xf>
    <xf numFmtId="10" fontId="21" fillId="44" borderId="0" xfId="0" applyNumberFormat="1" applyFont="1" applyFill="1" applyAlignment="1">
      <alignment horizontal="center" vertical="center"/>
    </xf>
    <xf numFmtId="43" fontId="21" fillId="46" borderId="0" xfId="0" applyNumberFormat="1" applyFont="1" applyFill="1" applyAlignment="1">
      <alignment horizontal="center" vertical="center"/>
    </xf>
    <xf numFmtId="43" fontId="39" fillId="0" borderId="0" xfId="0" applyNumberFormat="1" applyFont="1" applyFill="1" applyAlignment="1">
      <alignment vertical="center"/>
    </xf>
    <xf numFmtId="43" fontId="19" fillId="38" borderId="0" xfId="0" applyNumberFormat="1" applyFont="1" applyFill="1" applyAlignment="1">
      <alignment vertical="center"/>
    </xf>
    <xf numFmtId="43" fontId="27" fillId="38" borderId="0" xfId="0" applyNumberFormat="1" applyFont="1" applyFill="1" applyAlignment="1">
      <alignment vertical="center"/>
    </xf>
    <xf numFmtId="43" fontId="18" fillId="0" borderId="0" xfId="0" applyNumberFormat="1" applyFont="1" applyAlignment="1">
      <alignment horizontal="center" vertical="center"/>
    </xf>
    <xf numFmtId="43" fontId="21" fillId="45" borderId="0" xfId="0" applyNumberFormat="1" applyFont="1" applyFill="1" applyAlignment="1">
      <alignment horizontal="center" vertical="center"/>
    </xf>
    <xf numFmtId="0" fontId="21" fillId="45" borderId="0" xfId="0" applyFont="1" applyFill="1" applyAlignment="1">
      <alignment horizontal="center" vertical="center"/>
    </xf>
    <xf numFmtId="43" fontId="21" fillId="45" borderId="0" xfId="0" applyNumberFormat="1" applyFont="1" applyFill="1" applyAlignment="1">
      <alignment horizontal="center" vertical="center" wrapText="1"/>
    </xf>
    <xf numFmtId="10" fontId="43" fillId="45" borderId="0" xfId="0" applyNumberFormat="1" applyFont="1" applyFill="1" applyAlignment="1">
      <alignment horizontal="center" vertical="center" wrapText="1"/>
    </xf>
    <xf numFmtId="0" fontId="21" fillId="45" borderId="0" xfId="0" applyFont="1" applyFill="1" applyAlignment="1">
      <alignment horizontal="center" vertical="center" wrapText="1"/>
    </xf>
    <xf numFmtId="43" fontId="56" fillId="45" borderId="0" xfId="0" applyNumberFormat="1" applyFont="1" applyFill="1" applyAlignment="1">
      <alignment horizontal="center" vertical="center"/>
    </xf>
    <xf numFmtId="10" fontId="59" fillId="45" borderId="0" xfId="0" applyNumberFormat="1" applyFont="1" applyFill="1" applyAlignment="1">
      <alignment horizontal="center" vertical="center"/>
    </xf>
    <xf numFmtId="0" fontId="56" fillId="45" borderId="0" xfId="0" applyFont="1" applyFill="1" applyAlignment="1">
      <alignment horizontal="center" vertical="center"/>
    </xf>
    <xf numFmtId="43" fontId="18" fillId="34" borderId="0" xfId="0" applyNumberFormat="1" applyFont="1" applyFill="1" applyAlignment="1">
      <alignment vertical="center"/>
    </xf>
    <xf numFmtId="43" fontId="18" fillId="34" borderId="10" xfId="0" applyNumberFormat="1" applyFont="1" applyFill="1" applyBorder="1" applyAlignment="1">
      <alignment vertical="center"/>
    </xf>
    <xf numFmtId="43" fontId="18" fillId="34" borderId="0" xfId="0" applyNumberFormat="1" applyFont="1" applyFill="1" applyBorder="1" applyAlignment="1">
      <alignment vertical="center"/>
    </xf>
    <xf numFmtId="43" fontId="36" fillId="34" borderId="0" xfId="0" applyNumberFormat="1" applyFont="1" applyFill="1" applyAlignment="1">
      <alignment vertical="center"/>
    </xf>
    <xf numFmtId="43" fontId="38" fillId="34" borderId="0" xfId="0" applyNumberFormat="1" applyFont="1" applyFill="1" applyAlignment="1">
      <alignment vertical="center"/>
    </xf>
    <xf numFmtId="43" fontId="41" fillId="34" borderId="0" xfId="0" applyNumberFormat="1" applyFont="1" applyFill="1" applyAlignment="1">
      <alignment vertical="center"/>
    </xf>
    <xf numFmtId="43" fontId="34" fillId="34" borderId="0" xfId="0" applyNumberFormat="1" applyFont="1" applyFill="1" applyAlignment="1">
      <alignment vertical="center"/>
    </xf>
    <xf numFmtId="0" fontId="19" fillId="46" borderId="0" xfId="0" applyFont="1" applyFill="1" applyAlignment="1">
      <alignment horizontal="center" vertical="center"/>
    </xf>
    <xf numFmtId="43" fontId="47" fillId="0" borderId="16" xfId="43" applyFont="1" applyFill="1" applyBorder="1" applyAlignment="1">
      <alignment vertical="center"/>
    </xf>
    <xf numFmtId="43" fontId="19" fillId="34" borderId="0" xfId="0" applyNumberFormat="1" applyFont="1" applyFill="1" applyAlignment="1">
      <alignment vertical="center"/>
    </xf>
    <xf numFmtId="0" fontId="47" fillId="0" borderId="0" xfId="0" applyFont="1" applyBorder="1" applyAlignment="1">
      <alignment horizontal="center" vertical="center"/>
    </xf>
    <xf numFmtId="0" fontId="47" fillId="0" borderId="0" xfId="0" applyFont="1" applyAlignment="1">
      <alignment horizontal="center" vertical="center" wrapText="1"/>
    </xf>
    <xf numFmtId="0" fontId="47" fillId="0" borderId="0" xfId="0" applyFont="1" applyAlignment="1">
      <alignment vertical="center"/>
    </xf>
    <xf numFmtId="43" fontId="60" fillId="39" borderId="0" xfId="0" applyNumberFormat="1" applyFont="1" applyFill="1" applyAlignment="1">
      <alignment vertical="center"/>
    </xf>
    <xf numFmtId="0" fontId="18" fillId="0" borderId="16" xfId="0" applyFont="1" applyBorder="1" applyAlignment="1">
      <alignment vertical="center" wrapText="1"/>
    </xf>
    <xf numFmtId="43" fontId="28" fillId="39" borderId="0" xfId="0" applyNumberFormat="1" applyFont="1" applyFill="1" applyAlignment="1">
      <alignment vertical="center"/>
    </xf>
    <xf numFmtId="0" fontId="0" fillId="0" borderId="0" xfId="0" applyFont="1" applyAlignment="1">
      <alignment vertical="center"/>
    </xf>
    <xf numFmtId="7" fontId="0" fillId="0" borderId="15" xfId="43" applyNumberFormat="1" applyFont="1" applyBorder="1" applyAlignment="1">
      <alignment horizontal="center" vertical="center" wrapText="1"/>
    </xf>
    <xf numFmtId="7" fontId="0" fillId="0" borderId="17" xfId="43" applyNumberFormat="1" applyFont="1" applyBorder="1" applyAlignment="1">
      <alignment horizontal="center" vertical="center" wrapText="1"/>
    </xf>
    <xf numFmtId="0" fontId="35" fillId="0" borderId="15" xfId="0" applyFont="1" applyBorder="1" applyAlignment="1">
      <alignment horizontal="center" vertical="center"/>
    </xf>
    <xf numFmtId="0" fontId="47" fillId="0" borderId="15" xfId="0" applyFont="1" applyBorder="1" applyAlignment="1">
      <alignment horizontal="center" vertical="center"/>
    </xf>
    <xf numFmtId="0" fontId="47" fillId="0" borderId="17" xfId="0" applyFont="1" applyBorder="1" applyAlignment="1">
      <alignment horizontal="center" vertical="center"/>
    </xf>
    <xf numFmtId="43" fontId="57" fillId="39" borderId="0" xfId="0" applyNumberFormat="1" applyFont="1" applyFill="1" applyAlignment="1">
      <alignment vertical="center"/>
    </xf>
    <xf numFmtId="43" fontId="38" fillId="34" borderId="0" xfId="0" applyNumberFormat="1" applyFont="1" applyFill="1" applyBorder="1" applyAlignment="1">
      <alignment vertical="center"/>
    </xf>
    <xf numFmtId="43" fontId="61" fillId="0" borderId="0" xfId="0" applyNumberFormat="1" applyFont="1" applyAlignment="1">
      <alignment vertical="center"/>
    </xf>
    <xf numFmtId="43" fontId="62" fillId="0" borderId="0" xfId="0" applyNumberFormat="1" applyFont="1" applyFill="1" applyAlignment="1">
      <alignment vertical="center"/>
    </xf>
    <xf numFmtId="43" fontId="43" fillId="46" borderId="0" xfId="0" applyNumberFormat="1" applyFont="1" applyFill="1" applyAlignment="1">
      <alignment horizontal="center" vertical="center"/>
    </xf>
    <xf numFmtId="43" fontId="42" fillId="0" borderId="10" xfId="0" applyNumberFormat="1" applyFont="1" applyFill="1" applyBorder="1" applyAlignment="1">
      <alignment vertical="center"/>
    </xf>
    <xf numFmtId="43" fontId="42" fillId="0" borderId="0" xfId="0" applyNumberFormat="1" applyFont="1" applyFill="1" applyBorder="1" applyAlignment="1">
      <alignment vertical="center"/>
    </xf>
    <xf numFmtId="43" fontId="61" fillId="0" borderId="0" xfId="0" applyNumberFormat="1" applyFont="1" applyFill="1" applyAlignment="1">
      <alignment vertical="center"/>
    </xf>
    <xf numFmtId="43" fontId="42" fillId="0" borderId="11" xfId="0" applyNumberFormat="1" applyFont="1" applyFill="1" applyBorder="1" applyAlignment="1">
      <alignment vertical="center"/>
    </xf>
    <xf numFmtId="43" fontId="38" fillId="38" borderId="0" xfId="0" applyNumberFormat="1" applyFont="1" applyFill="1" applyAlignment="1">
      <alignment vertical="center"/>
    </xf>
    <xf numFmtId="43" fontId="38" fillId="0" borderId="0" xfId="0" applyNumberFormat="1" applyFont="1" applyFill="1" applyBorder="1" applyAlignment="1">
      <alignment vertical="center"/>
    </xf>
    <xf numFmtId="43" fontId="63" fillId="0" borderId="0" xfId="0" applyNumberFormat="1" applyFont="1" applyFill="1" applyAlignment="1">
      <alignment vertical="center"/>
    </xf>
    <xf numFmtId="43" fontId="64" fillId="0" borderId="0" xfId="0" applyNumberFormat="1" applyFont="1" applyFill="1" applyAlignment="1">
      <alignment vertical="center"/>
    </xf>
    <xf numFmtId="43" fontId="65" fillId="39" borderId="0" xfId="0" applyNumberFormat="1" applyFont="1" applyFill="1" applyAlignment="1">
      <alignment vertical="center"/>
    </xf>
    <xf numFmtId="43" fontId="66" fillId="39" borderId="0" xfId="0" applyNumberFormat="1" applyFont="1" applyFill="1" applyAlignment="1">
      <alignment vertical="center"/>
    </xf>
    <xf numFmtId="7" fontId="60" fillId="0" borderId="15" xfId="43" applyNumberFormat="1" applyFont="1" applyBorder="1" applyAlignment="1">
      <alignment horizontal="center" vertical="center" wrapText="1"/>
    </xf>
    <xf numFmtId="43" fontId="67" fillId="39" borderId="0" xfId="0" applyNumberFormat="1" applyFont="1" applyFill="1" applyAlignment="1">
      <alignment vertical="center"/>
    </xf>
    <xf numFmtId="43" fontId="68" fillId="39" borderId="0" xfId="0" applyNumberFormat="1" applyFont="1" applyFill="1" applyAlignment="1">
      <alignment vertical="center"/>
    </xf>
    <xf numFmtId="43" fontId="16" fillId="0" borderId="0" xfId="0" applyNumberFormat="1" applyFont="1" applyAlignment="1">
      <alignment vertical="center"/>
    </xf>
    <xf numFmtId="0" fontId="0" fillId="0" borderId="0" xfId="0"/>
    <xf numFmtId="0" fontId="16" fillId="0" borderId="0" xfId="0" applyFont="1" applyAlignment="1">
      <alignment horizontal="center"/>
    </xf>
    <xf numFmtId="0" fontId="18" fillId="0" borderId="0" xfId="0" quotePrefix="1" applyFont="1" applyAlignment="1">
      <alignment horizontal="left" vertical="center"/>
    </xf>
    <xf numFmtId="43" fontId="67" fillId="39" borderId="0" xfId="0" quotePrefix="1" applyNumberFormat="1" applyFont="1" applyFill="1" applyAlignment="1">
      <alignment horizontal="left" vertical="center"/>
    </xf>
    <xf numFmtId="43" fontId="57" fillId="39" borderId="0" xfId="0" quotePrefix="1" applyNumberFormat="1" applyFont="1" applyFill="1" applyAlignment="1">
      <alignment horizontal="left" vertical="center"/>
    </xf>
    <xf numFmtId="43" fontId="18" fillId="0" borderId="18" xfId="0" applyNumberFormat="1" applyFont="1" applyFill="1" applyBorder="1" applyAlignment="1">
      <alignment vertical="center"/>
    </xf>
    <xf numFmtId="43" fontId="18" fillId="0" borderId="19" xfId="0" applyNumberFormat="1" applyFont="1" applyFill="1" applyBorder="1" applyAlignment="1">
      <alignment vertical="center"/>
    </xf>
    <xf numFmtId="0" fontId="70" fillId="0" borderId="0" xfId="0" applyFont="1" applyFill="1" applyAlignment="1">
      <alignment vertical="center"/>
    </xf>
    <xf numFmtId="0" fontId="70" fillId="0" borderId="0" xfId="0" quotePrefix="1" applyFont="1" applyFill="1" applyAlignment="1">
      <alignment horizontal="left" vertical="center"/>
    </xf>
    <xf numFmtId="43" fontId="26" fillId="0" borderId="0" xfId="0" applyNumberFormat="1" applyFont="1" applyAlignment="1">
      <alignment horizontal="center" vertical="center"/>
    </xf>
    <xf numFmtId="43" fontId="26" fillId="36" borderId="0" xfId="0" applyNumberFormat="1" applyFont="1" applyFill="1" applyAlignment="1">
      <alignment horizontal="center" vertical="center"/>
    </xf>
    <xf numFmtId="43" fontId="0" fillId="39" borderId="0" xfId="0" applyNumberFormat="1" applyFont="1" applyFill="1" applyAlignment="1">
      <alignment vertical="center"/>
    </xf>
    <xf numFmtId="43" fontId="71" fillId="39" borderId="0" xfId="0" applyNumberFormat="1" applyFont="1" applyFill="1" applyAlignment="1">
      <alignment vertical="center"/>
    </xf>
    <xf numFmtId="43" fontId="18" fillId="0" borderId="13" xfId="0" applyNumberFormat="1" applyFont="1" applyBorder="1" applyAlignment="1">
      <alignment vertical="center"/>
    </xf>
    <xf numFmtId="43" fontId="18" fillId="0" borderId="0" xfId="0" applyNumberFormat="1" applyFont="1" applyAlignment="1">
      <alignment horizontal="right" vertical="center"/>
    </xf>
    <xf numFmtId="10" fontId="18" fillId="0" borderId="0" xfId="45" applyNumberFormat="1" applyFont="1" applyAlignment="1">
      <alignment vertical="center"/>
    </xf>
    <xf numFmtId="43" fontId="28" fillId="39" borderId="0" xfId="0" quotePrefix="1" applyNumberFormat="1" applyFont="1" applyFill="1" applyAlignment="1">
      <alignment horizontal="left" vertical="center"/>
    </xf>
    <xf numFmtId="43" fontId="43" fillId="45" borderId="0" xfId="0" applyNumberFormat="1" applyFont="1" applyFill="1" applyAlignment="1">
      <alignment horizontal="center" vertical="center"/>
    </xf>
    <xf numFmtId="43" fontId="0" fillId="0" borderId="0" xfId="0" applyNumberFormat="1" applyFont="1" applyFill="1" applyAlignment="1">
      <alignment vertical="center"/>
    </xf>
    <xf numFmtId="0" fontId="73" fillId="0" borderId="0" xfId="0" applyFont="1" applyAlignment="1">
      <alignment horizontal="center" vertical="center"/>
    </xf>
    <xf numFmtId="43" fontId="20" fillId="0" borderId="0" xfId="0" applyNumberFormat="1" applyFont="1" applyFill="1" applyAlignment="1">
      <alignment vertical="center"/>
    </xf>
    <xf numFmtId="0" fontId="21" fillId="0" borderId="0" xfId="0" applyFont="1" applyFill="1" applyAlignment="1">
      <alignment horizontal="center" vertical="center"/>
    </xf>
    <xf numFmtId="0" fontId="21" fillId="0" borderId="0" xfId="0" applyFont="1" applyFill="1" applyAlignment="1">
      <alignment horizontal="center" vertical="center" wrapText="1"/>
    </xf>
    <xf numFmtId="0" fontId="56" fillId="0" borderId="0" xfId="0" applyFont="1" applyFill="1" applyAlignment="1">
      <alignment horizontal="center" vertical="center"/>
    </xf>
    <xf numFmtId="0" fontId="39" fillId="0" borderId="0" xfId="0" applyFont="1" applyFill="1" applyAlignment="1">
      <alignment vertical="center"/>
    </xf>
    <xf numFmtId="0" fontId="38" fillId="0" borderId="0" xfId="0" applyFont="1" applyFill="1" applyAlignment="1">
      <alignment vertical="center"/>
    </xf>
    <xf numFmtId="43" fontId="21" fillId="49" borderId="0" xfId="0" applyNumberFormat="1" applyFont="1" applyFill="1" applyAlignment="1">
      <alignment horizontal="center" vertical="center"/>
    </xf>
    <xf numFmtId="43" fontId="21" fillId="49" borderId="0" xfId="0" applyNumberFormat="1" applyFont="1" applyFill="1" applyAlignment="1">
      <alignment horizontal="center" vertical="center" wrapText="1"/>
    </xf>
    <xf numFmtId="43" fontId="56" fillId="49" borderId="0" xfId="0" applyNumberFormat="1" applyFont="1" applyFill="1" applyAlignment="1">
      <alignment horizontal="center" vertical="center"/>
    </xf>
    <xf numFmtId="0" fontId="21" fillId="49" borderId="0" xfId="0" applyFont="1" applyFill="1" applyAlignment="1">
      <alignment horizontal="center" vertical="center"/>
    </xf>
    <xf numFmtId="10" fontId="43" fillId="49" borderId="0" xfId="0" applyNumberFormat="1" applyFont="1" applyFill="1" applyAlignment="1">
      <alignment horizontal="center" vertical="center" wrapText="1"/>
    </xf>
    <xf numFmtId="0" fontId="21" fillId="49" borderId="0" xfId="0" applyFont="1" applyFill="1" applyAlignment="1">
      <alignment horizontal="center" vertical="center" wrapText="1"/>
    </xf>
    <xf numFmtId="10" fontId="59" fillId="49" borderId="0" xfId="0" applyNumberFormat="1" applyFont="1" applyFill="1" applyAlignment="1">
      <alignment horizontal="center" vertical="center"/>
    </xf>
    <xf numFmtId="0" fontId="56" fillId="49" borderId="0" xfId="0" applyFont="1" applyFill="1" applyAlignment="1">
      <alignment horizontal="center" vertical="center"/>
    </xf>
    <xf numFmtId="43" fontId="74" fillId="39" borderId="0" xfId="0" applyNumberFormat="1" applyFont="1" applyFill="1" applyAlignment="1">
      <alignment vertical="center"/>
    </xf>
    <xf numFmtId="0" fontId="24" fillId="0" borderId="15" xfId="0" applyFont="1" applyBorder="1" applyAlignment="1">
      <alignment horizontal="center" vertical="center"/>
    </xf>
    <xf numFmtId="0" fontId="24" fillId="0" borderId="17" xfId="0" applyFont="1" applyBorder="1" applyAlignment="1">
      <alignment horizontal="center" vertical="center"/>
    </xf>
    <xf numFmtId="0" fontId="18" fillId="0" borderId="16" xfId="0" applyFont="1" applyBorder="1" applyAlignment="1">
      <alignment horizontal="left" vertical="center" wrapText="1"/>
    </xf>
    <xf numFmtId="0" fontId="24" fillId="0" borderId="22" xfId="0" applyFont="1" applyBorder="1" applyAlignment="1">
      <alignment horizontal="center" vertical="center"/>
    </xf>
    <xf numFmtId="0" fontId="24" fillId="0" borderId="10" xfId="0" applyFont="1" applyBorder="1" applyAlignment="1">
      <alignment horizontal="center" vertical="center"/>
    </xf>
    <xf numFmtId="0" fontId="66" fillId="0" borderId="0" xfId="0" applyFont="1" applyAlignment="1">
      <alignment horizontal="center" vertical="center"/>
    </xf>
    <xf numFmtId="43" fontId="75" fillId="39" borderId="0" xfId="0" applyNumberFormat="1" applyFont="1" applyFill="1" applyAlignment="1">
      <alignment vertical="center"/>
    </xf>
    <xf numFmtId="43" fontId="76" fillId="39" borderId="0" xfId="0" applyNumberFormat="1" applyFont="1" applyFill="1" applyAlignment="1">
      <alignment vertical="center"/>
    </xf>
    <xf numFmtId="44" fontId="18" fillId="0" borderId="14" xfId="0" applyNumberFormat="1" applyFont="1" applyBorder="1"/>
    <xf numFmtId="0" fontId="16" fillId="0" borderId="0" xfId="0" applyFont="1" applyBorder="1" applyAlignment="1">
      <alignment horizontal="left" vertical="center"/>
    </xf>
    <xf numFmtId="7" fontId="47" fillId="0" borderId="17" xfId="43" applyNumberFormat="1" applyFont="1" applyBorder="1" applyAlignment="1">
      <alignment horizontal="center" vertical="center" wrapText="1"/>
    </xf>
    <xf numFmtId="0" fontId="0" fillId="40" borderId="20" xfId="0" applyFont="1" applyFill="1" applyBorder="1" applyAlignment="1">
      <alignment horizontal="center" vertical="center" wrapText="1"/>
    </xf>
    <xf numFmtId="0" fontId="0" fillId="40" borderId="22" xfId="0" applyFont="1" applyFill="1" applyBorder="1" applyAlignment="1">
      <alignment horizontal="center" vertical="center" wrapText="1"/>
    </xf>
    <xf numFmtId="43" fontId="28" fillId="39" borderId="10" xfId="0" quotePrefix="1" applyNumberFormat="1" applyFont="1" applyFill="1" applyBorder="1" applyAlignment="1">
      <alignment horizontal="left" vertical="center"/>
    </xf>
    <xf numFmtId="43" fontId="28" fillId="39" borderId="0" xfId="0" quotePrefix="1" applyNumberFormat="1" applyFont="1" applyFill="1" applyBorder="1" applyAlignment="1">
      <alignment horizontal="left" vertical="center"/>
    </xf>
    <xf numFmtId="7" fontId="47" fillId="0" borderId="0" xfId="43" applyNumberFormat="1" applyFont="1" applyBorder="1" applyAlignment="1">
      <alignment horizontal="center" vertical="center" wrapText="1"/>
    </xf>
    <xf numFmtId="43" fontId="39" fillId="0" borderId="0" xfId="0" applyNumberFormat="1" applyFont="1" applyAlignment="1">
      <alignment vertical="center"/>
    </xf>
    <xf numFmtId="0" fontId="82" fillId="0" borderId="0" xfId="0" applyFont="1" applyAlignment="1">
      <alignment horizontal="right" vertical="center" wrapText="1"/>
    </xf>
    <xf numFmtId="0" fontId="67" fillId="0" borderId="0" xfId="0" applyFont="1" applyAlignment="1">
      <alignment horizontal="center" vertical="center"/>
    </xf>
    <xf numFmtId="0" fontId="36" fillId="0" borderId="0" xfId="0" applyFont="1" applyAlignment="1">
      <alignment vertical="center"/>
    </xf>
    <xf numFmtId="0" fontId="67" fillId="0" borderId="0" xfId="0" applyFont="1" applyFill="1" applyAlignment="1">
      <alignment horizontal="center" vertical="center"/>
    </xf>
    <xf numFmtId="0" fontId="73" fillId="0" borderId="0" xfId="0" applyFont="1" applyFill="1" applyAlignment="1">
      <alignment horizontal="center" vertical="center"/>
    </xf>
    <xf numFmtId="0" fontId="73" fillId="0" borderId="0" xfId="0" applyFont="1" applyFill="1" applyBorder="1" applyAlignment="1">
      <alignment horizontal="center" vertical="center"/>
    </xf>
    <xf numFmtId="0" fontId="67" fillId="0" borderId="0" xfId="0" applyFont="1" applyFill="1" applyBorder="1" applyAlignment="1">
      <alignment horizontal="center" vertical="center"/>
    </xf>
    <xf numFmtId="44" fontId="0" fillId="0" borderId="11" xfId="0" applyNumberFormat="1" applyBorder="1"/>
    <xf numFmtId="0" fontId="82" fillId="0" borderId="13" xfId="0" applyFont="1" applyBorder="1" applyAlignment="1">
      <alignment horizontal="right" vertical="center" wrapText="1"/>
    </xf>
    <xf numFmtId="7" fontId="47" fillId="0" borderId="13" xfId="0" applyNumberFormat="1" applyFont="1" applyBorder="1" applyAlignment="1">
      <alignment vertical="center"/>
    </xf>
    <xf numFmtId="0" fontId="47" fillId="0" borderId="13" xfId="0" applyFont="1" applyBorder="1" applyAlignment="1">
      <alignment vertical="center"/>
    </xf>
    <xf numFmtId="0" fontId="55" fillId="0" borderId="0" xfId="0" applyFont="1" applyAlignment="1">
      <alignment horizontal="center"/>
    </xf>
    <xf numFmtId="0" fontId="0" fillId="0" borderId="0" xfId="0" applyAlignment="1">
      <alignment wrapText="1"/>
    </xf>
    <xf numFmtId="10" fontId="0" fillId="0" borderId="0" xfId="0" applyNumberFormat="1" applyAlignment="1">
      <alignment vertical="center"/>
    </xf>
    <xf numFmtId="10" fontId="0" fillId="0" borderId="11" xfId="0" applyNumberFormat="1" applyBorder="1"/>
    <xf numFmtId="167" fontId="55" fillId="0" borderId="0" xfId="0" applyNumberFormat="1" applyFont="1" applyAlignment="1">
      <alignment horizontal="right"/>
    </xf>
    <xf numFmtId="167" fontId="0" fillId="0" borderId="0" xfId="0" applyNumberFormat="1" applyAlignment="1">
      <alignment horizontal="right"/>
    </xf>
    <xf numFmtId="167" fontId="0" fillId="0" borderId="0" xfId="0" applyNumberFormat="1" applyAlignment="1">
      <alignment horizontal="right" vertical="center"/>
    </xf>
    <xf numFmtId="167" fontId="0" fillId="0" borderId="0" xfId="42" applyNumberFormat="1" applyFont="1" applyAlignment="1">
      <alignment horizontal="right"/>
    </xf>
    <xf numFmtId="167" fontId="14" fillId="0" borderId="10" xfId="42" applyNumberFormat="1" applyFont="1" applyBorder="1" applyAlignment="1">
      <alignment horizontal="right"/>
    </xf>
    <xf numFmtId="167" fontId="55" fillId="0" borderId="0" xfId="0" applyNumberFormat="1" applyFont="1" applyAlignment="1">
      <alignment horizontal="center"/>
    </xf>
    <xf numFmtId="167" fontId="0" fillId="0" borderId="0" xfId="0" applyNumberFormat="1"/>
    <xf numFmtId="167" fontId="0" fillId="0" borderId="11" xfId="0" applyNumberFormat="1" applyBorder="1"/>
    <xf numFmtId="10" fontId="0" fillId="0" borderId="0" xfId="45" applyNumberFormat="1" applyFont="1"/>
    <xf numFmtId="0" fontId="30" fillId="0" borderId="0" xfId="0" applyFont="1" applyFill="1" applyBorder="1" applyAlignment="1">
      <alignment horizontal="left" vertical="center"/>
    </xf>
    <xf numFmtId="0" fontId="20" fillId="0" borderId="0" xfId="0" applyFont="1" applyFill="1" applyBorder="1" applyAlignment="1">
      <alignment vertical="center"/>
    </xf>
    <xf numFmtId="0" fontId="31" fillId="0" borderId="0" xfId="0" applyFont="1" applyFill="1" applyBorder="1" applyAlignment="1">
      <alignment horizontal="center" vertical="center"/>
    </xf>
    <xf numFmtId="0" fontId="32" fillId="0" borderId="0" xfId="0" applyFont="1" applyFill="1" applyBorder="1" applyAlignment="1">
      <alignment horizontal="center" vertical="center"/>
    </xf>
    <xf numFmtId="43" fontId="20" fillId="0" borderId="0" xfId="0" applyNumberFormat="1" applyFont="1" applyFill="1" applyBorder="1" applyAlignment="1">
      <alignment vertical="center"/>
    </xf>
    <xf numFmtId="43" fontId="44" fillId="0" borderId="0" xfId="0" applyNumberFormat="1" applyFont="1" applyFill="1" applyBorder="1" applyAlignment="1">
      <alignment vertical="center"/>
    </xf>
    <xf numFmtId="10" fontId="31" fillId="0" borderId="0" xfId="0" applyNumberFormat="1" applyFont="1" applyFill="1" applyBorder="1" applyAlignment="1">
      <alignment vertical="center"/>
    </xf>
    <xf numFmtId="43" fontId="32" fillId="0" borderId="0" xfId="0" applyNumberFormat="1" applyFont="1" applyFill="1" applyBorder="1" applyAlignment="1">
      <alignment vertical="center"/>
    </xf>
    <xf numFmtId="10" fontId="26" fillId="42" borderId="0" xfId="0" applyNumberFormat="1" applyFont="1" applyFill="1" applyBorder="1" applyAlignment="1">
      <alignment vertical="center"/>
    </xf>
    <xf numFmtId="43" fontId="21" fillId="38" borderId="0" xfId="0" applyNumberFormat="1" applyFont="1" applyFill="1" applyAlignment="1">
      <alignment horizontal="center" vertical="center"/>
    </xf>
    <xf numFmtId="43" fontId="43" fillId="38" borderId="0" xfId="0" applyNumberFormat="1" applyFont="1" applyFill="1" applyAlignment="1">
      <alignment horizontal="center" vertical="center"/>
    </xf>
    <xf numFmtId="43" fontId="18" fillId="38" borderId="0" xfId="0" applyNumberFormat="1" applyFont="1" applyFill="1" applyAlignment="1">
      <alignment vertical="center"/>
    </xf>
    <xf numFmtId="43" fontId="20" fillId="48" borderId="12" xfId="0" applyNumberFormat="1" applyFont="1" applyFill="1" applyBorder="1" applyAlignment="1">
      <alignment vertical="center"/>
    </xf>
    <xf numFmtId="0" fontId="0" fillId="0" borderId="24" xfId="0" applyBorder="1"/>
    <xf numFmtId="0" fontId="0" fillId="0" borderId="25" xfId="0" applyBorder="1"/>
    <xf numFmtId="0" fontId="0" fillId="0" borderId="26" xfId="0" applyBorder="1"/>
    <xf numFmtId="0" fontId="0" fillId="0" borderId="27" xfId="0" applyBorder="1"/>
    <xf numFmtId="44" fontId="0" fillId="41" borderId="0" xfId="0" applyNumberFormat="1" applyFill="1" applyBorder="1"/>
    <xf numFmtId="0" fontId="0" fillId="0" borderId="28" xfId="0" applyBorder="1"/>
    <xf numFmtId="9" fontId="0" fillId="0" borderId="0" xfId="0" applyNumberFormat="1" applyBorder="1" applyAlignment="1">
      <alignment horizontal="right"/>
    </xf>
    <xf numFmtId="10" fontId="0" fillId="0" borderId="0" xfId="0" applyNumberFormat="1" applyBorder="1"/>
    <xf numFmtId="0" fontId="0" fillId="0" borderId="29" xfId="0" applyBorder="1"/>
    <xf numFmtId="0" fontId="0" fillId="0" borderId="14" xfId="0" applyBorder="1"/>
    <xf numFmtId="0" fontId="0" fillId="0" borderId="30" xfId="0" applyBorder="1"/>
    <xf numFmtId="43" fontId="0" fillId="0" borderId="0" xfId="43" applyFont="1" applyAlignment="1">
      <alignment vertical="center" textRotation="90"/>
    </xf>
    <xf numFmtId="44" fontId="0" fillId="0" borderId="0" xfId="42" applyFont="1" applyAlignment="1">
      <alignment vertical="center" textRotation="90"/>
    </xf>
    <xf numFmtId="165" fontId="0" fillId="0" borderId="0" xfId="43" applyNumberFormat="1" applyFont="1" applyAlignment="1">
      <alignment vertical="center" textRotation="90"/>
    </xf>
    <xf numFmtId="10" fontId="40" fillId="0" borderId="0" xfId="0" applyNumberFormat="1" applyFont="1" applyFill="1" applyAlignment="1">
      <alignment vertical="center"/>
    </xf>
    <xf numFmtId="43" fontId="21" fillId="50" borderId="0" xfId="0" applyNumberFormat="1" applyFont="1" applyFill="1" applyAlignment="1">
      <alignment horizontal="center" vertical="center"/>
    </xf>
    <xf numFmtId="43" fontId="21" fillId="50" borderId="0" xfId="0" applyNumberFormat="1" applyFont="1" applyFill="1" applyAlignment="1">
      <alignment horizontal="center" vertical="center" wrapText="1"/>
    </xf>
    <xf numFmtId="43" fontId="56" fillId="50" borderId="0" xfId="0" applyNumberFormat="1" applyFont="1" applyFill="1" applyAlignment="1">
      <alignment horizontal="center" vertical="center"/>
    </xf>
    <xf numFmtId="0" fontId="21" fillId="50" borderId="0" xfId="0" applyFont="1" applyFill="1" applyAlignment="1">
      <alignment horizontal="center" vertical="center"/>
    </xf>
    <xf numFmtId="10" fontId="43" fillId="50" borderId="0" xfId="0" applyNumberFormat="1" applyFont="1" applyFill="1" applyAlignment="1">
      <alignment horizontal="center" vertical="center" wrapText="1"/>
    </xf>
    <xf numFmtId="0" fontId="21" fillId="50" borderId="0" xfId="0" applyFont="1" applyFill="1" applyAlignment="1">
      <alignment horizontal="center" vertical="center" wrapText="1"/>
    </xf>
    <xf numFmtId="10" fontId="59" fillId="50" borderId="0" xfId="0" applyNumberFormat="1" applyFont="1" applyFill="1" applyAlignment="1">
      <alignment horizontal="center" vertical="center"/>
    </xf>
    <xf numFmtId="0" fontId="56" fillId="50" borderId="0" xfId="0" applyFont="1" applyFill="1" applyAlignment="1">
      <alignment horizontal="center" vertical="center"/>
    </xf>
    <xf numFmtId="10" fontId="18" fillId="0" borderId="0" xfId="45" applyNumberFormat="1" applyFont="1" applyFill="1" applyAlignment="1">
      <alignment vertical="center"/>
    </xf>
    <xf numFmtId="43" fontId="27" fillId="35" borderId="0" xfId="0" applyNumberFormat="1" applyFont="1" applyFill="1" applyAlignment="1">
      <alignment vertical="center"/>
    </xf>
    <xf numFmtId="43" fontId="47" fillId="39" borderId="0" xfId="0" applyNumberFormat="1" applyFont="1" applyFill="1" applyAlignment="1">
      <alignment vertical="center"/>
    </xf>
    <xf numFmtId="43" fontId="83" fillId="39" borderId="0" xfId="0" applyNumberFormat="1" applyFont="1" applyFill="1" applyAlignment="1">
      <alignment vertical="center"/>
    </xf>
    <xf numFmtId="43" fontId="27" fillId="0" borderId="0" xfId="0" applyNumberFormat="1" applyFont="1" applyFill="1" applyBorder="1" applyAlignment="1">
      <alignment vertical="center"/>
    </xf>
    <xf numFmtId="43" fontId="27" fillId="0" borderId="12" xfId="0" applyNumberFormat="1" applyFont="1" applyFill="1" applyBorder="1" applyAlignment="1">
      <alignment vertical="center"/>
    </xf>
    <xf numFmtId="43" fontId="18" fillId="51" borderId="0" xfId="0" applyNumberFormat="1" applyFont="1" applyFill="1" applyAlignment="1">
      <alignment vertical="center"/>
    </xf>
    <xf numFmtId="0" fontId="0" fillId="51" borderId="16" xfId="0" applyFont="1" applyFill="1" applyBorder="1" applyAlignment="1">
      <alignment horizontal="center" vertical="center" wrapText="1"/>
    </xf>
    <xf numFmtId="0" fontId="0" fillId="51" borderId="0" xfId="0" applyFont="1" applyFill="1" applyBorder="1" applyAlignment="1">
      <alignment horizontal="center" vertical="center" wrapText="1"/>
    </xf>
    <xf numFmtId="43" fontId="74" fillId="39" borderId="0" xfId="0" applyNumberFormat="1" applyFont="1" applyFill="1" applyBorder="1" applyAlignment="1">
      <alignment vertical="center"/>
    </xf>
    <xf numFmtId="0" fontId="28" fillId="0" borderId="0" xfId="0" applyFont="1" applyFill="1" applyAlignment="1">
      <alignment horizontal="center" vertical="center" textRotation="90" wrapText="1"/>
    </xf>
    <xf numFmtId="0" fontId="28" fillId="0" borderId="0" xfId="0" applyFont="1" applyFill="1" applyBorder="1" applyAlignment="1">
      <alignment horizontal="center" vertical="center" textRotation="90" wrapText="1"/>
    </xf>
    <xf numFmtId="7" fontId="28" fillId="0" borderId="0" xfId="0" applyNumberFormat="1" applyFont="1" applyFill="1" applyBorder="1" applyAlignment="1">
      <alignment horizontal="center" vertical="center" textRotation="90" wrapText="1"/>
    </xf>
    <xf numFmtId="0" fontId="24" fillId="0" borderId="0" xfId="0" applyFont="1" applyFill="1" applyAlignment="1">
      <alignment horizontal="center" vertical="center" textRotation="90" wrapText="1"/>
    </xf>
    <xf numFmtId="49" fontId="74" fillId="39" borderId="0" xfId="0" applyNumberFormat="1" applyFont="1" applyFill="1" applyAlignment="1">
      <alignment vertical="center"/>
    </xf>
    <xf numFmtId="0" fontId="18" fillId="0" borderId="18" xfId="0" applyFont="1" applyBorder="1" applyAlignment="1">
      <alignment vertical="center" wrapText="1"/>
    </xf>
    <xf numFmtId="0" fontId="0" fillId="51" borderId="16" xfId="0" quotePrefix="1" applyFont="1" applyFill="1" applyBorder="1" applyAlignment="1">
      <alignment horizontal="center" vertical="center" wrapText="1"/>
    </xf>
    <xf numFmtId="49" fontId="28" fillId="39" borderId="0" xfId="0" applyNumberFormat="1" applyFont="1" applyFill="1" applyAlignment="1">
      <alignment vertical="center"/>
    </xf>
    <xf numFmtId="0" fontId="42" fillId="0" borderId="16" xfId="0" applyFont="1" applyBorder="1" applyAlignment="1">
      <alignment vertical="center" wrapText="1"/>
    </xf>
    <xf numFmtId="43" fontId="36" fillId="51" borderId="0" xfId="0" applyNumberFormat="1" applyFont="1" applyFill="1"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vertical="center"/>
    </xf>
    <xf numFmtId="43" fontId="0" fillId="0" borderId="0" xfId="0" applyNumberFormat="1" applyFont="1" applyBorder="1" applyAlignment="1">
      <alignment vertical="center"/>
    </xf>
    <xf numFmtId="43" fontId="0" fillId="0" borderId="0" xfId="43" applyFont="1" applyBorder="1" applyAlignment="1">
      <alignment vertical="center" textRotation="90"/>
    </xf>
    <xf numFmtId="0" fontId="0" fillId="0" borderId="0" xfId="0" applyFont="1" applyBorder="1" applyAlignment="1">
      <alignment vertical="center" wrapText="1"/>
    </xf>
    <xf numFmtId="0" fontId="82" fillId="0" borderId="0" xfId="0" applyFont="1" applyBorder="1" applyAlignment="1">
      <alignment horizontal="right" vertical="center" wrapText="1"/>
    </xf>
    <xf numFmtId="7" fontId="47" fillId="0" borderId="0" xfId="0" applyNumberFormat="1" applyFont="1" applyBorder="1" applyAlignment="1">
      <alignment vertical="center"/>
    </xf>
    <xf numFmtId="0" fontId="47" fillId="0" borderId="0" xfId="0" applyFont="1" applyBorder="1" applyAlignment="1">
      <alignment vertical="center"/>
    </xf>
    <xf numFmtId="43" fontId="36" fillId="0" borderId="0" xfId="0" applyNumberFormat="1" applyFont="1" applyFill="1" applyBorder="1" applyAlignment="1">
      <alignment vertical="center"/>
    </xf>
    <xf numFmtId="43" fontId="28" fillId="51" borderId="0" xfId="0" applyNumberFormat="1" applyFont="1" applyFill="1" applyAlignment="1">
      <alignment vertical="center"/>
    </xf>
    <xf numFmtId="43" fontId="24" fillId="39" borderId="0" xfId="0" applyNumberFormat="1" applyFont="1" applyFill="1" applyAlignment="1">
      <alignment horizontal="center" vertical="center"/>
    </xf>
    <xf numFmtId="43" fontId="84" fillId="39" borderId="0" xfId="0" applyNumberFormat="1" applyFont="1" applyFill="1" applyAlignment="1">
      <alignment vertical="center"/>
    </xf>
    <xf numFmtId="49" fontId="28" fillId="51" borderId="0" xfId="0" applyNumberFormat="1" applyFont="1" applyFill="1" applyAlignment="1">
      <alignment vertical="center"/>
    </xf>
    <xf numFmtId="49" fontId="57" fillId="39" borderId="0" xfId="0" applyNumberFormat="1" applyFont="1" applyFill="1" applyAlignment="1">
      <alignment vertical="center"/>
    </xf>
    <xf numFmtId="43" fontId="68" fillId="41" borderId="0" xfId="0" applyNumberFormat="1" applyFont="1" applyFill="1" applyBorder="1" applyAlignment="1">
      <alignment horizontal="right" vertical="center"/>
    </xf>
    <xf numFmtId="43" fontId="85" fillId="41" borderId="0" xfId="0" applyNumberFormat="1" applyFont="1" applyFill="1" applyBorder="1" applyAlignment="1">
      <alignment vertical="center"/>
    </xf>
    <xf numFmtId="0" fontId="86" fillId="0" borderId="0" xfId="0" applyFont="1" applyAlignment="1">
      <alignment vertical="center"/>
    </xf>
    <xf numFmtId="0" fontId="72"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0" fillId="36" borderId="10" xfId="0" applyFill="1" applyBorder="1" applyAlignment="1">
      <alignment horizontal="center" vertical="center"/>
    </xf>
    <xf numFmtId="43" fontId="0" fillId="36" borderId="11" xfId="0" applyNumberFormat="1" applyFill="1" applyBorder="1" applyAlignment="1">
      <alignment vertical="center"/>
    </xf>
    <xf numFmtId="43" fontId="0" fillId="36" borderId="0" xfId="43" applyFont="1" applyFill="1" applyBorder="1" applyAlignment="1">
      <alignment vertical="center"/>
    </xf>
    <xf numFmtId="43" fontId="0" fillId="0" borderId="0" xfId="43" applyFont="1" applyAlignment="1">
      <alignment vertical="center"/>
    </xf>
    <xf numFmtId="43" fontId="13" fillId="36" borderId="10" xfId="43" applyFont="1" applyFill="1" applyBorder="1" applyAlignment="1">
      <alignment horizontal="center" vertical="center"/>
    </xf>
    <xf numFmtId="0" fontId="87" fillId="0" borderId="0" xfId="0" applyFont="1" applyAlignment="1">
      <alignment vertical="center"/>
    </xf>
    <xf numFmtId="0" fontId="0" fillId="0" borderId="20" xfId="0" applyBorder="1" applyAlignment="1">
      <alignment vertical="center"/>
    </xf>
    <xf numFmtId="0" fontId="0" fillId="0" borderId="11" xfId="0" applyBorder="1" applyAlignment="1">
      <alignment vertical="center"/>
    </xf>
    <xf numFmtId="0" fontId="0" fillId="0" borderId="21" xfId="0" applyBorder="1" applyAlignment="1">
      <alignment vertical="center"/>
    </xf>
    <xf numFmtId="0" fontId="0" fillId="0" borderId="33" xfId="0" applyBorder="1" applyAlignment="1">
      <alignment horizontal="center" vertical="center"/>
    </xf>
    <xf numFmtId="0" fontId="0" fillId="0" borderId="0" xfId="0" applyBorder="1" applyAlignment="1">
      <alignment horizontal="center" vertical="center"/>
    </xf>
    <xf numFmtId="0" fontId="0" fillId="36" borderId="0" xfId="0" applyFill="1" applyBorder="1" applyAlignment="1">
      <alignment horizontal="center" vertical="center"/>
    </xf>
    <xf numFmtId="43" fontId="13" fillId="36" borderId="0" xfId="43" applyFont="1" applyFill="1" applyBorder="1" applyAlignment="1">
      <alignment horizontal="center" vertical="center"/>
    </xf>
    <xf numFmtId="0" fontId="0" fillId="0" borderId="34" xfId="0" applyBorder="1" applyAlignment="1">
      <alignment vertical="center"/>
    </xf>
    <xf numFmtId="0" fontId="81" fillId="0" borderId="0" xfId="0" applyFont="1" applyBorder="1" applyAlignment="1">
      <alignment horizontal="center" vertical="center"/>
    </xf>
    <xf numFmtId="43" fontId="0" fillId="36" borderId="0" xfId="43" applyFont="1" applyFill="1" applyBorder="1" applyAlignment="1">
      <alignment horizontal="center" vertical="center"/>
    </xf>
    <xf numFmtId="0" fontId="0" fillId="0" borderId="34" xfId="0" applyBorder="1" applyAlignment="1">
      <alignment horizontal="center" vertical="center"/>
    </xf>
    <xf numFmtId="0" fontId="16" fillId="0" borderId="33" xfId="0" applyFont="1" applyBorder="1" applyAlignment="1">
      <alignment horizontal="left" vertical="center"/>
    </xf>
    <xf numFmtId="0" fontId="0" fillId="0" borderId="0" xfId="0" applyBorder="1" applyAlignment="1">
      <alignment vertical="center"/>
    </xf>
    <xf numFmtId="43" fontId="0" fillId="47" borderId="0" xfId="0" applyNumberFormat="1" applyFill="1" applyBorder="1" applyAlignment="1">
      <alignment vertical="center"/>
    </xf>
    <xf numFmtId="0" fontId="0" fillId="47" borderId="0" xfId="0" applyFill="1" applyBorder="1" applyAlignment="1">
      <alignment vertical="center"/>
    </xf>
    <xf numFmtId="43" fontId="0" fillId="47" borderId="0" xfId="43" applyFont="1" applyFill="1" applyBorder="1" applyAlignment="1">
      <alignment vertical="center"/>
    </xf>
    <xf numFmtId="0" fontId="88" fillId="0" borderId="34" xfId="0" applyFont="1" applyBorder="1" applyAlignment="1">
      <alignment horizontal="left" vertical="center"/>
    </xf>
    <xf numFmtId="0" fontId="0" fillId="0" borderId="33" xfId="0" applyBorder="1" applyAlignment="1">
      <alignment vertical="center"/>
    </xf>
    <xf numFmtId="0" fontId="0" fillId="0" borderId="0" xfId="0" applyBorder="1" applyAlignment="1">
      <alignment horizontal="right" vertical="center" indent="1"/>
    </xf>
    <xf numFmtId="43" fontId="0" fillId="36" borderId="0" xfId="0" applyNumberFormat="1" applyFill="1" applyBorder="1" applyAlignment="1">
      <alignment vertical="center"/>
    </xf>
    <xf numFmtId="0" fontId="0" fillId="36" borderId="0" xfId="0" applyFill="1" applyBorder="1" applyAlignment="1">
      <alignment vertical="center"/>
    </xf>
    <xf numFmtId="0" fontId="81" fillId="0" borderId="34" xfId="0" applyFont="1" applyBorder="1" applyAlignment="1">
      <alignment horizontal="left" vertical="center"/>
    </xf>
    <xf numFmtId="0" fontId="81" fillId="0" borderId="0" xfId="0" applyFont="1" applyBorder="1" applyAlignment="1">
      <alignment vertical="center"/>
    </xf>
    <xf numFmtId="0" fontId="81" fillId="0" borderId="34" xfId="0" applyFont="1" applyBorder="1" applyAlignment="1">
      <alignment vertical="center"/>
    </xf>
    <xf numFmtId="0" fontId="81" fillId="52" borderId="0" xfId="0" applyFont="1" applyFill="1" applyBorder="1" applyAlignment="1">
      <alignment horizontal="right" vertical="center" indent="1"/>
    </xf>
    <xf numFmtId="0" fontId="0" fillId="52" borderId="0" xfId="0" applyFill="1" applyBorder="1" applyAlignment="1">
      <alignment vertical="center"/>
    </xf>
    <xf numFmtId="43" fontId="0" fillId="52" borderId="0" xfId="43" applyFont="1" applyFill="1" applyBorder="1" applyAlignment="1">
      <alignment vertical="center"/>
    </xf>
    <xf numFmtId="0" fontId="0" fillId="52" borderId="33" xfId="0" applyFill="1" applyBorder="1" applyAlignment="1">
      <alignment horizontal="left" vertical="center"/>
    </xf>
    <xf numFmtId="0" fontId="16" fillId="0" borderId="33" xfId="0" applyFont="1" applyBorder="1" applyAlignment="1">
      <alignment vertical="center"/>
    </xf>
    <xf numFmtId="0" fontId="0" fillId="0" borderId="22" xfId="0" applyBorder="1" applyAlignment="1">
      <alignment vertical="center"/>
    </xf>
    <xf numFmtId="0" fontId="0" fillId="0" borderId="10" xfId="0" applyBorder="1" applyAlignment="1">
      <alignment vertical="center"/>
    </xf>
    <xf numFmtId="43" fontId="0" fillId="0" borderId="10" xfId="43" applyFont="1" applyBorder="1" applyAlignment="1">
      <alignment vertical="center"/>
    </xf>
    <xf numFmtId="0" fontId="0" fillId="0" borderId="23" xfId="0" applyBorder="1" applyAlignment="1">
      <alignment vertical="center"/>
    </xf>
    <xf numFmtId="0" fontId="50" fillId="35" borderId="0" xfId="0" applyFont="1" applyFill="1" applyAlignment="1">
      <alignment horizontal="center" vertical="center"/>
    </xf>
    <xf numFmtId="0" fontId="37" fillId="35" borderId="0" xfId="0" applyFont="1" applyFill="1" applyAlignment="1">
      <alignment horizontal="center" vertical="center" textRotation="90" wrapText="1"/>
    </xf>
    <xf numFmtId="0" fontId="37" fillId="35" borderId="0" xfId="0" applyFont="1" applyFill="1" applyBorder="1" applyAlignment="1">
      <alignment horizontal="center" vertical="center" textRotation="90" wrapText="1"/>
    </xf>
    <xf numFmtId="43" fontId="47" fillId="35" borderId="16" xfId="43" applyFont="1" applyFill="1" applyBorder="1" applyAlignment="1">
      <alignment vertical="center"/>
    </xf>
    <xf numFmtId="44" fontId="79" fillId="35" borderId="0" xfId="42" applyFont="1" applyFill="1" applyAlignment="1">
      <alignment vertical="center"/>
    </xf>
    <xf numFmtId="44" fontId="28" fillId="35" borderId="0" xfId="0" applyNumberFormat="1" applyFont="1" applyFill="1" applyBorder="1" applyAlignment="1">
      <alignment vertical="center"/>
    </xf>
    <xf numFmtId="0" fontId="0" fillId="35" borderId="0" xfId="0" applyFont="1" applyFill="1" applyAlignment="1">
      <alignment vertical="center"/>
    </xf>
    <xf numFmtId="43" fontId="47" fillId="35" borderId="0" xfId="43" applyFont="1" applyFill="1" applyBorder="1" applyAlignment="1">
      <alignment vertical="center"/>
    </xf>
    <xf numFmtId="44" fontId="79" fillId="35" borderId="0" xfId="42" applyFont="1" applyFill="1" applyBorder="1" applyAlignment="1">
      <alignment vertical="center"/>
    </xf>
    <xf numFmtId="44" fontId="47" fillId="35" borderId="0" xfId="0" applyNumberFormat="1" applyFont="1" applyFill="1" applyBorder="1" applyAlignment="1">
      <alignment vertical="center"/>
    </xf>
    <xf numFmtId="43" fontId="47" fillId="35" borderId="0" xfId="43" applyFont="1" applyFill="1" applyBorder="1" applyAlignment="1">
      <alignment horizontal="center" vertical="center"/>
    </xf>
    <xf numFmtId="49" fontId="0" fillId="0" borderId="16" xfId="0" applyNumberFormat="1" applyFont="1" applyFill="1" applyBorder="1" applyAlignment="1">
      <alignment horizontal="center" vertical="center"/>
    </xf>
    <xf numFmtId="0" fontId="47" fillId="0" borderId="16" xfId="0" applyFont="1" applyFill="1" applyBorder="1" applyAlignment="1">
      <alignment vertical="center" wrapText="1"/>
    </xf>
    <xf numFmtId="0" fontId="28" fillId="0" borderId="16" xfId="0" applyFont="1" applyFill="1" applyBorder="1" applyAlignment="1">
      <alignment vertical="center" wrapText="1"/>
    </xf>
    <xf numFmtId="165" fontId="0" fillId="0" borderId="0" xfId="43" applyNumberFormat="1" applyFont="1" applyFill="1" applyBorder="1" applyAlignment="1">
      <alignment horizontal="center" vertical="center" textRotation="90" wrapText="1"/>
    </xf>
    <xf numFmtId="49" fontId="0" fillId="0" borderId="0" xfId="42" applyNumberFormat="1" applyFont="1" applyFill="1" applyBorder="1" applyAlignment="1">
      <alignment horizontal="center" vertical="center" textRotation="90" wrapText="1"/>
    </xf>
    <xf numFmtId="0" fontId="47" fillId="0" borderId="0" xfId="0" applyFont="1" applyFill="1" applyBorder="1" applyAlignment="1">
      <alignment vertical="center" wrapText="1"/>
    </xf>
    <xf numFmtId="165" fontId="0" fillId="0" borderId="0" xfId="43" applyNumberFormat="1" applyFont="1" applyFill="1" applyAlignment="1">
      <alignment horizontal="center" vertical="center" textRotation="90" wrapText="1"/>
    </xf>
    <xf numFmtId="0" fontId="47" fillId="0" borderId="0" xfId="0" applyFont="1" applyFill="1" applyAlignment="1">
      <alignment vertical="center" wrapText="1"/>
    </xf>
    <xf numFmtId="165" fontId="0" fillId="0" borderId="0" xfId="43" applyNumberFormat="1" applyFont="1" applyFill="1" applyAlignment="1">
      <alignment vertical="center" textRotation="90"/>
    </xf>
    <xf numFmtId="44" fontId="0" fillId="0" borderId="0" xfId="42" applyFont="1" applyFill="1" applyAlignment="1">
      <alignment vertical="center" textRotation="90"/>
    </xf>
    <xf numFmtId="0" fontId="0" fillId="0" borderId="0" xfId="0" applyFont="1" applyFill="1" applyAlignment="1">
      <alignment vertical="center" wrapText="1"/>
    </xf>
    <xf numFmtId="165" fontId="47" fillId="0" borderId="0" xfId="43" applyNumberFormat="1" applyFont="1" applyFill="1" applyAlignment="1">
      <alignment vertical="center" textRotation="90"/>
    </xf>
    <xf numFmtId="44" fontId="47" fillId="0" borderId="0" xfId="42" applyFont="1" applyFill="1" applyAlignment="1">
      <alignment vertical="center" textRotation="90"/>
    </xf>
    <xf numFmtId="166" fontId="0" fillId="0" borderId="16" xfId="0" applyNumberFormat="1" applyFont="1" applyFill="1" applyBorder="1" applyAlignment="1">
      <alignment horizontal="center" vertical="center"/>
    </xf>
    <xf numFmtId="166" fontId="0" fillId="0" borderId="0" xfId="43" applyNumberFormat="1" applyFont="1" applyAlignment="1">
      <alignment vertical="center" textRotation="90"/>
    </xf>
    <xf numFmtId="166" fontId="0" fillId="0" borderId="0" xfId="43" applyNumberFormat="1" applyFont="1" applyBorder="1" applyAlignment="1">
      <alignment vertical="center" textRotation="90"/>
    </xf>
    <xf numFmtId="166" fontId="0" fillId="0" borderId="0" xfId="43" applyNumberFormat="1" applyFont="1" applyFill="1" applyBorder="1" applyAlignment="1">
      <alignment horizontal="center" vertical="center" textRotation="90" wrapText="1"/>
    </xf>
    <xf numFmtId="166" fontId="0" fillId="0" borderId="0" xfId="43" applyNumberFormat="1" applyFont="1" applyFill="1" applyAlignment="1">
      <alignment vertical="center" textRotation="90"/>
    </xf>
    <xf numFmtId="166" fontId="47" fillId="0" borderId="0" xfId="43" applyNumberFormat="1" applyFont="1" applyFill="1" applyAlignment="1">
      <alignment vertical="center" textRotation="90"/>
    </xf>
    <xf numFmtId="43" fontId="67" fillId="0" borderId="0" xfId="42" applyNumberFormat="1" applyFont="1" applyAlignment="1">
      <alignment vertical="center"/>
    </xf>
    <xf numFmtId="43" fontId="80" fillId="0" borderId="0" xfId="42" applyNumberFormat="1" applyFont="1" applyFill="1" applyAlignment="1">
      <alignment vertical="center"/>
    </xf>
    <xf numFmtId="43" fontId="77" fillId="0" borderId="0" xfId="42" applyNumberFormat="1" applyFont="1" applyAlignment="1">
      <alignment vertical="center"/>
    </xf>
    <xf numFmtId="43" fontId="78" fillId="0" borderId="0" xfId="42" applyNumberFormat="1" applyFont="1" applyAlignment="1">
      <alignment vertical="center"/>
    </xf>
    <xf numFmtId="43" fontId="79" fillId="0" borderId="0" xfId="42" applyNumberFormat="1" applyFont="1" applyAlignment="1">
      <alignment vertical="center"/>
    </xf>
    <xf numFmtId="43" fontId="80" fillId="0" borderId="13" xfId="42" applyNumberFormat="1" applyFont="1" applyFill="1" applyBorder="1" applyAlignment="1">
      <alignment vertical="center"/>
    </xf>
    <xf numFmtId="43" fontId="77" fillId="0" borderId="13" xfId="42" applyNumberFormat="1" applyFont="1" applyBorder="1" applyAlignment="1">
      <alignment vertical="center"/>
    </xf>
    <xf numFmtId="43" fontId="78" fillId="0" borderId="13" xfId="42" applyNumberFormat="1" applyFont="1" applyBorder="1" applyAlignment="1">
      <alignment vertical="center"/>
    </xf>
    <xf numFmtId="43" fontId="79" fillId="0" borderId="13" xfId="42" applyNumberFormat="1" applyFont="1" applyBorder="1" applyAlignment="1">
      <alignment vertical="center"/>
    </xf>
    <xf numFmtId="43" fontId="80" fillId="0" borderId="0" xfId="42" applyNumberFormat="1" applyFont="1" applyFill="1" applyBorder="1" applyAlignment="1">
      <alignment vertical="center"/>
    </xf>
    <xf numFmtId="43" fontId="77" fillId="0" borderId="0" xfId="42" applyNumberFormat="1" applyFont="1" applyBorder="1" applyAlignment="1">
      <alignment vertical="center"/>
    </xf>
    <xf numFmtId="43" fontId="78" fillId="0" borderId="0" xfId="42" applyNumberFormat="1" applyFont="1" applyBorder="1" applyAlignment="1">
      <alignment vertical="center"/>
    </xf>
    <xf numFmtId="43" fontId="79" fillId="0" borderId="0" xfId="42" applyNumberFormat="1" applyFont="1" applyBorder="1" applyAlignment="1">
      <alignment vertical="center"/>
    </xf>
    <xf numFmtId="43" fontId="47" fillId="0" borderId="16" xfId="0" applyNumberFormat="1" applyFont="1" applyBorder="1" applyAlignment="1">
      <alignment vertical="center"/>
    </xf>
    <xf numFmtId="43" fontId="0" fillId="0" borderId="15" xfId="0" applyNumberFormat="1" applyFont="1" applyBorder="1" applyAlignment="1">
      <alignment vertical="center"/>
    </xf>
    <xf numFmtId="43" fontId="0" fillId="0" borderId="32" xfId="0" applyNumberFormat="1" applyFont="1" applyBorder="1" applyAlignment="1">
      <alignment vertical="center"/>
    </xf>
    <xf numFmtId="43" fontId="47" fillId="0" borderId="17" xfId="0" applyNumberFormat="1" applyFont="1" applyBorder="1" applyAlignment="1">
      <alignment vertical="center"/>
    </xf>
    <xf numFmtId="0" fontId="81" fillId="0" borderId="16" xfId="0" applyFont="1" applyFill="1" applyBorder="1" applyAlignment="1">
      <alignment horizontal="center" vertical="center" wrapText="1"/>
    </xf>
    <xf numFmtId="49" fontId="71" fillId="39" borderId="0" xfId="0" applyNumberFormat="1" applyFont="1" applyFill="1" applyAlignment="1">
      <alignment vertical="center"/>
    </xf>
    <xf numFmtId="43" fontId="71" fillId="39" borderId="0" xfId="0" quotePrefix="1" applyNumberFormat="1" applyFont="1" applyFill="1" applyAlignment="1">
      <alignment horizontal="left" vertical="center"/>
    </xf>
    <xf numFmtId="49" fontId="57" fillId="39" borderId="0" xfId="0" quotePrefix="1" applyNumberFormat="1" applyFont="1" applyFill="1" applyAlignment="1">
      <alignment horizontal="left" vertical="center"/>
    </xf>
    <xf numFmtId="0" fontId="19" fillId="0" borderId="0" xfId="0" applyFont="1" applyFill="1" applyAlignment="1">
      <alignment horizontal="left" vertical="center"/>
    </xf>
    <xf numFmtId="43" fontId="56" fillId="35" borderId="0" xfId="0" applyNumberFormat="1" applyFont="1" applyFill="1" applyAlignment="1">
      <alignment vertical="center"/>
    </xf>
    <xf numFmtId="43" fontId="56" fillId="38" borderId="0" xfId="0" applyNumberFormat="1" applyFont="1" applyFill="1" applyAlignment="1">
      <alignment vertical="center"/>
    </xf>
    <xf numFmtId="43" fontId="18" fillId="33" borderId="0" xfId="0" applyNumberFormat="1" applyFont="1" applyFill="1" applyAlignment="1">
      <alignment vertical="center"/>
    </xf>
    <xf numFmtId="43" fontId="18" fillId="37" borderId="0" xfId="0" applyNumberFormat="1" applyFont="1" applyFill="1" applyAlignment="1">
      <alignment vertical="center"/>
    </xf>
    <xf numFmtId="43" fontId="18" fillId="36" borderId="0" xfId="0" applyNumberFormat="1" applyFont="1" applyFill="1" applyAlignment="1">
      <alignment vertical="center"/>
    </xf>
    <xf numFmtId="43" fontId="37" fillId="34" borderId="0" xfId="0" applyNumberFormat="1" applyFont="1" applyFill="1" applyAlignment="1">
      <alignment vertical="center"/>
    </xf>
    <xf numFmtId="43" fontId="56" fillId="0" borderId="0" xfId="0" applyNumberFormat="1" applyFont="1" applyFill="1" applyAlignment="1">
      <alignment vertical="center"/>
    </xf>
    <xf numFmtId="43" fontId="42" fillId="34" borderId="0" xfId="0" applyNumberFormat="1" applyFont="1" applyFill="1" applyAlignment="1">
      <alignment vertical="center"/>
    </xf>
    <xf numFmtId="43" fontId="36" fillId="0" borderId="12" xfId="0" applyNumberFormat="1" applyFont="1" applyFill="1" applyBorder="1" applyAlignment="1">
      <alignment vertical="center"/>
    </xf>
    <xf numFmtId="43" fontId="21" fillId="53" borderId="0" xfId="0" applyNumberFormat="1" applyFont="1" applyFill="1" applyAlignment="1">
      <alignment horizontal="center" vertical="center"/>
    </xf>
    <xf numFmtId="43" fontId="21" fillId="53" borderId="0" xfId="0" applyNumberFormat="1" applyFont="1" applyFill="1" applyAlignment="1">
      <alignment horizontal="center" vertical="center" wrapText="1"/>
    </xf>
    <xf numFmtId="43" fontId="56" fillId="53" borderId="0" xfId="0" applyNumberFormat="1" applyFont="1" applyFill="1" applyAlignment="1">
      <alignment horizontal="center" vertical="center"/>
    </xf>
    <xf numFmtId="0" fontId="21" fillId="53" borderId="0" xfId="0" applyFont="1" applyFill="1" applyAlignment="1">
      <alignment horizontal="center" vertical="center"/>
    </xf>
    <xf numFmtId="10" fontId="43" fillId="53" borderId="0" xfId="0" applyNumberFormat="1" applyFont="1" applyFill="1" applyAlignment="1">
      <alignment horizontal="center" vertical="center" wrapText="1"/>
    </xf>
    <xf numFmtId="0" fontId="21" fillId="53" borderId="0" xfId="0" applyFont="1" applyFill="1" applyAlignment="1">
      <alignment horizontal="center" vertical="center" wrapText="1"/>
    </xf>
    <xf numFmtId="10" fontId="59" fillId="53" borderId="0" xfId="0" applyNumberFormat="1" applyFont="1" applyFill="1" applyAlignment="1">
      <alignment horizontal="center" vertical="center"/>
    </xf>
    <xf numFmtId="0" fontId="56" fillId="53" borderId="0" xfId="0" applyFont="1" applyFill="1" applyAlignment="1">
      <alignment horizontal="center" vertical="center"/>
    </xf>
    <xf numFmtId="43" fontId="21" fillId="46" borderId="0" xfId="0" applyNumberFormat="1" applyFont="1" applyFill="1" applyAlignment="1">
      <alignment horizontal="center" vertical="center" wrapText="1"/>
    </xf>
    <xf numFmtId="10" fontId="25" fillId="46" borderId="0" xfId="0" applyNumberFormat="1" applyFont="1" applyFill="1" applyAlignment="1">
      <alignment horizontal="center" vertical="center" wrapText="1"/>
    </xf>
    <xf numFmtId="0" fontId="21" fillId="46" borderId="0" xfId="0" applyFont="1" applyFill="1" applyAlignment="1">
      <alignment horizontal="center" vertical="center" wrapText="1"/>
    </xf>
    <xf numFmtId="43" fontId="29" fillId="46" borderId="0" xfId="0" applyNumberFormat="1" applyFont="1" applyFill="1" applyAlignment="1">
      <alignment horizontal="center" vertical="center" wrapText="1"/>
    </xf>
    <xf numFmtId="43" fontId="56" fillId="46" borderId="0" xfId="0" applyNumberFormat="1" applyFont="1" applyFill="1" applyAlignment="1">
      <alignment horizontal="center" vertical="center"/>
    </xf>
    <xf numFmtId="10" fontId="89" fillId="46" borderId="0" xfId="0" applyNumberFormat="1" applyFont="1" applyFill="1" applyAlignment="1">
      <alignment horizontal="center" vertical="center"/>
    </xf>
    <xf numFmtId="0" fontId="56" fillId="46" borderId="0" xfId="0" applyFont="1" applyFill="1" applyAlignment="1">
      <alignment horizontal="center" vertical="center"/>
    </xf>
    <xf numFmtId="43" fontId="90" fillId="46" borderId="0" xfId="0" applyNumberFormat="1" applyFont="1" applyFill="1" applyAlignment="1">
      <alignment horizontal="center" vertical="center"/>
    </xf>
    <xf numFmtId="0" fontId="19" fillId="44" borderId="0" xfId="0" applyFont="1" applyFill="1" applyAlignment="1">
      <alignment horizontal="center" vertical="center" wrapText="1"/>
    </xf>
    <xf numFmtId="43" fontId="18" fillId="44" borderId="0" xfId="0" applyNumberFormat="1" applyFont="1" applyFill="1" applyAlignment="1">
      <alignment horizontal="center" vertical="center"/>
    </xf>
    <xf numFmtId="0" fontId="18" fillId="44" borderId="0" xfId="0" applyFont="1" applyFill="1" applyAlignment="1">
      <alignment horizontal="center" vertical="center"/>
    </xf>
    <xf numFmtId="43" fontId="21" fillId="44" borderId="0" xfId="0" applyNumberFormat="1" applyFont="1" applyFill="1" applyAlignment="1">
      <alignment horizontal="center" vertical="center" wrapText="1"/>
    </xf>
    <xf numFmtId="10" fontId="25" fillId="44" borderId="0" xfId="0" applyNumberFormat="1" applyFont="1" applyFill="1" applyAlignment="1">
      <alignment horizontal="center" vertical="center" wrapText="1"/>
    </xf>
    <xf numFmtId="0" fontId="21" fillId="44" borderId="0" xfId="0" applyFont="1" applyFill="1" applyAlignment="1">
      <alignment horizontal="center" vertical="center" wrapText="1"/>
    </xf>
    <xf numFmtId="43" fontId="29" fillId="44" borderId="0" xfId="0" applyNumberFormat="1" applyFont="1" applyFill="1" applyAlignment="1">
      <alignment horizontal="center" vertical="center" wrapText="1"/>
    </xf>
    <xf numFmtId="43" fontId="56" fillId="44" borderId="0" xfId="0" applyNumberFormat="1" applyFont="1" applyFill="1" applyAlignment="1">
      <alignment horizontal="center" vertical="center"/>
    </xf>
    <xf numFmtId="10" fontId="89" fillId="44" borderId="0" xfId="0" applyNumberFormat="1" applyFont="1" applyFill="1" applyAlignment="1">
      <alignment horizontal="center" vertical="center"/>
    </xf>
    <xf numFmtId="0" fontId="56" fillId="44" borderId="0" xfId="0" applyFont="1" applyFill="1" applyAlignment="1">
      <alignment horizontal="center" vertical="center"/>
    </xf>
    <xf numFmtId="43" fontId="90" fillId="44" borderId="0" xfId="0" applyNumberFormat="1" applyFont="1" applyFill="1" applyAlignment="1">
      <alignment horizontal="center" vertical="center"/>
    </xf>
    <xf numFmtId="43" fontId="20" fillId="0" borderId="0" xfId="0" applyNumberFormat="1" applyFont="1" applyFill="1" applyAlignment="1">
      <alignment horizontal="center" vertical="center" wrapText="1"/>
    </xf>
    <xf numFmtId="43" fontId="44" fillId="0" borderId="0" xfId="0" applyNumberFormat="1" applyFont="1" applyFill="1" applyAlignment="1">
      <alignment horizontal="center" vertical="center" wrapText="1"/>
    </xf>
    <xf numFmtId="43" fontId="36" fillId="0" borderId="0" xfId="0" applyNumberFormat="1" applyFont="1" applyFill="1" applyAlignment="1">
      <alignment horizontal="center" vertical="center"/>
    </xf>
    <xf numFmtId="43" fontId="91" fillId="0" borderId="0" xfId="0" applyNumberFormat="1" applyFont="1" applyFill="1" applyAlignment="1">
      <alignment horizontal="center" vertical="center"/>
    </xf>
    <xf numFmtId="0" fontId="20" fillId="53" borderId="0" xfId="0" applyFont="1" applyFill="1" applyAlignment="1">
      <alignment horizontal="center" vertical="center"/>
    </xf>
    <xf numFmtId="0" fontId="20" fillId="53" borderId="0" xfId="0" applyFont="1" applyFill="1" applyAlignment="1">
      <alignment horizontal="center" vertical="center" wrapText="1"/>
    </xf>
    <xf numFmtId="0" fontId="36" fillId="53" borderId="0" xfId="0" applyFont="1" applyFill="1" applyAlignment="1">
      <alignment horizontal="center" vertical="center"/>
    </xf>
    <xf numFmtId="43" fontId="20" fillId="35" borderId="0" xfId="0" applyNumberFormat="1" applyFont="1" applyFill="1" applyAlignment="1">
      <alignment vertical="center"/>
    </xf>
    <xf numFmtId="10" fontId="31" fillId="35" borderId="0" xfId="0" applyNumberFormat="1" applyFont="1" applyFill="1" applyAlignment="1">
      <alignment vertical="center"/>
    </xf>
    <xf numFmtId="0" fontId="36" fillId="0" borderId="0" xfId="0" applyFont="1" applyFill="1" applyAlignment="1">
      <alignment vertical="center"/>
    </xf>
    <xf numFmtId="43" fontId="20" fillId="38" borderId="0" xfId="0" applyNumberFormat="1" applyFont="1" applyFill="1" applyAlignment="1">
      <alignment vertical="center"/>
    </xf>
    <xf numFmtId="10" fontId="31" fillId="38" borderId="0" xfId="0" applyNumberFormat="1" applyFont="1" applyFill="1" applyAlignment="1">
      <alignment vertical="center"/>
    </xf>
    <xf numFmtId="43" fontId="36" fillId="0" borderId="0" xfId="0" applyNumberFormat="1" applyFont="1" applyAlignment="1">
      <alignment vertical="center"/>
    </xf>
    <xf numFmtId="10" fontId="73" fillId="0" borderId="0" xfId="0" applyNumberFormat="1" applyFont="1" applyAlignment="1">
      <alignment vertical="center"/>
    </xf>
    <xf numFmtId="43" fontId="20" fillId="33" borderId="0" xfId="0" applyNumberFormat="1" applyFont="1" applyFill="1" applyAlignment="1">
      <alignment vertical="center"/>
    </xf>
    <xf numFmtId="10" fontId="31" fillId="36" borderId="0" xfId="0" applyNumberFormat="1" applyFont="1" applyFill="1" applyAlignment="1">
      <alignment vertical="center"/>
    </xf>
    <xf numFmtId="0" fontId="20" fillId="0" borderId="0" xfId="0" applyFont="1" applyAlignment="1">
      <alignment vertical="center"/>
    </xf>
    <xf numFmtId="43" fontId="20" fillId="37" borderId="0" xfId="0" applyNumberFormat="1" applyFont="1" applyFill="1" applyAlignment="1">
      <alignment vertical="center"/>
    </xf>
    <xf numFmtId="10" fontId="31" fillId="37" borderId="0" xfId="0" applyNumberFormat="1" applyFont="1" applyFill="1" applyAlignment="1">
      <alignment vertical="center"/>
    </xf>
    <xf numFmtId="43" fontId="36" fillId="0" borderId="0" xfId="0" applyNumberFormat="1" applyFont="1" applyBorder="1" applyAlignment="1">
      <alignment vertical="center"/>
    </xf>
    <xf numFmtId="10" fontId="73" fillId="0" borderId="0" xfId="0" applyNumberFormat="1" applyFont="1" applyBorder="1" applyAlignment="1">
      <alignment vertical="center"/>
    </xf>
    <xf numFmtId="43" fontId="36" fillId="39" borderId="0" xfId="0" applyNumberFormat="1" applyFont="1" applyFill="1" applyBorder="1" applyAlignment="1">
      <alignment vertical="center"/>
    </xf>
    <xf numFmtId="43" fontId="36" fillId="0" borderId="10" xfId="0" applyNumberFormat="1" applyFont="1" applyBorder="1" applyAlignment="1">
      <alignment vertical="center"/>
    </xf>
    <xf numFmtId="10" fontId="73" fillId="0" borderId="10" xfId="0" applyNumberFormat="1" applyFont="1" applyBorder="1" applyAlignment="1">
      <alignment vertical="center"/>
    </xf>
    <xf numFmtId="43" fontId="36" fillId="39" borderId="10" xfId="0" applyNumberFormat="1" applyFont="1" applyFill="1" applyBorder="1" applyAlignment="1">
      <alignment vertical="center"/>
    </xf>
    <xf numFmtId="43" fontId="36" fillId="0" borderId="0" xfId="0" applyNumberFormat="1" applyFont="1" applyFill="1" applyAlignment="1">
      <alignment vertical="center"/>
    </xf>
    <xf numFmtId="0" fontId="36" fillId="0" borderId="0" xfId="0" applyFont="1" applyBorder="1" applyAlignment="1">
      <alignment vertical="center"/>
    </xf>
    <xf numFmtId="43" fontId="20" fillId="36" borderId="0" xfId="0" applyNumberFormat="1" applyFont="1" applyFill="1" applyAlignment="1">
      <alignment vertical="center"/>
    </xf>
    <xf numFmtId="10" fontId="73" fillId="0" borderId="0" xfId="0" applyNumberFormat="1" applyFont="1" applyFill="1" applyAlignment="1">
      <alignment vertical="center"/>
    </xf>
    <xf numFmtId="10" fontId="31" fillId="0" borderId="0" xfId="0" applyNumberFormat="1" applyFont="1" applyFill="1" applyAlignment="1">
      <alignment vertical="center"/>
    </xf>
    <xf numFmtId="10" fontId="73" fillId="37" borderId="0" xfId="0" applyNumberFormat="1" applyFont="1" applyFill="1" applyAlignment="1">
      <alignment vertical="center"/>
    </xf>
    <xf numFmtId="43" fontId="36" fillId="0" borderId="11" xfId="0" applyNumberFormat="1" applyFont="1" applyBorder="1" applyAlignment="1">
      <alignment vertical="center"/>
    </xf>
    <xf numFmtId="10" fontId="73" fillId="0" borderId="11" xfId="0" applyNumberFormat="1" applyFont="1" applyBorder="1" applyAlignment="1">
      <alignment vertical="center"/>
    </xf>
    <xf numFmtId="43" fontId="36" fillId="0" borderId="11" xfId="0" applyNumberFormat="1" applyFont="1" applyFill="1" applyBorder="1" applyAlignment="1">
      <alignment vertical="center"/>
    </xf>
    <xf numFmtId="0" fontId="20" fillId="0" borderId="0" xfId="0" applyFont="1" applyBorder="1" applyAlignment="1">
      <alignment vertical="center"/>
    </xf>
    <xf numFmtId="0" fontId="36" fillId="0" borderId="0" xfId="0" applyFont="1" applyFill="1" applyBorder="1" applyAlignment="1">
      <alignment vertical="center"/>
    </xf>
    <xf numFmtId="43" fontId="91" fillId="0" borderId="11" xfId="0" applyNumberFormat="1" applyFont="1" applyBorder="1" applyAlignment="1">
      <alignment vertical="center"/>
    </xf>
    <xf numFmtId="43" fontId="91" fillId="0" borderId="11" xfId="0" applyNumberFormat="1" applyFont="1" applyFill="1" applyBorder="1" applyAlignment="1">
      <alignment vertical="center"/>
    </xf>
    <xf numFmtId="10" fontId="36" fillId="0" borderId="0" xfId="45" applyNumberFormat="1" applyFont="1" applyFill="1" applyAlignment="1">
      <alignment vertical="center"/>
    </xf>
    <xf numFmtId="0" fontId="20" fillId="0" borderId="0" xfId="0" applyFont="1" applyFill="1" applyAlignment="1">
      <alignment vertical="center"/>
    </xf>
    <xf numFmtId="43" fontId="44" fillId="36" borderId="0" xfId="0" applyNumberFormat="1" applyFont="1" applyFill="1" applyAlignment="1">
      <alignment vertical="center"/>
    </xf>
    <xf numFmtId="10" fontId="20" fillId="0" borderId="0" xfId="0" applyNumberFormat="1" applyFont="1" applyFill="1" applyAlignment="1">
      <alignment vertical="center"/>
    </xf>
    <xf numFmtId="10" fontId="31" fillId="0" borderId="0" xfId="0" applyNumberFormat="1" applyFont="1" applyAlignment="1">
      <alignment vertical="center"/>
    </xf>
    <xf numFmtId="0" fontId="44" fillId="0" borderId="0" xfId="0" applyFont="1" applyAlignment="1">
      <alignment vertical="center"/>
    </xf>
    <xf numFmtId="10" fontId="31" fillId="42" borderId="0" xfId="0" applyNumberFormat="1" applyFont="1" applyFill="1" applyBorder="1" applyAlignment="1">
      <alignment vertical="center"/>
    </xf>
    <xf numFmtId="10" fontId="31" fillId="42" borderId="12" xfId="0" applyNumberFormat="1" applyFont="1" applyFill="1" applyBorder="1" applyAlignment="1">
      <alignment vertical="center"/>
    </xf>
    <xf numFmtId="43" fontId="28" fillId="34" borderId="0" xfId="0" applyNumberFormat="1" applyFont="1" applyFill="1" applyAlignment="1">
      <alignment vertical="center"/>
    </xf>
    <xf numFmtId="43" fontId="56" fillId="38" borderId="0" xfId="0" applyNumberFormat="1" applyFont="1" applyFill="1" applyBorder="1" applyAlignment="1">
      <alignment vertical="center"/>
    </xf>
    <xf numFmtId="43" fontId="56" fillId="38" borderId="11" xfId="0" applyNumberFormat="1" applyFont="1" applyFill="1" applyBorder="1" applyAlignment="1">
      <alignment vertical="center"/>
    </xf>
    <xf numFmtId="43" fontId="20" fillId="49" borderId="0" xfId="0" applyNumberFormat="1" applyFont="1" applyFill="1" applyBorder="1" applyAlignment="1">
      <alignment vertical="center"/>
    </xf>
    <xf numFmtId="43" fontId="18" fillId="49" borderId="0" xfId="0" applyNumberFormat="1" applyFont="1" applyFill="1" applyAlignment="1">
      <alignment horizontal="right" vertical="center" indent="1"/>
    </xf>
    <xf numFmtId="43" fontId="18" fillId="49" borderId="0" xfId="43" applyFont="1" applyFill="1" applyAlignment="1">
      <alignment vertical="center"/>
    </xf>
    <xf numFmtId="10" fontId="24" fillId="49" borderId="0" xfId="0" applyNumberFormat="1" applyFont="1" applyFill="1" applyAlignment="1">
      <alignment vertical="center"/>
    </xf>
    <xf numFmtId="0" fontId="18" fillId="49" borderId="0" xfId="0" applyFont="1" applyFill="1" applyAlignment="1">
      <alignment vertical="center"/>
    </xf>
    <xf numFmtId="43" fontId="18" fillId="49" borderId="0" xfId="0" applyNumberFormat="1" applyFont="1" applyFill="1" applyAlignment="1">
      <alignment vertical="center"/>
    </xf>
    <xf numFmtId="43" fontId="28" fillId="49" borderId="0" xfId="0" applyNumberFormat="1" applyFont="1" applyFill="1" applyAlignment="1">
      <alignment horizontal="right" vertical="center"/>
    </xf>
    <xf numFmtId="43" fontId="18" fillId="49" borderId="11" xfId="0" applyNumberFormat="1" applyFont="1" applyFill="1" applyBorder="1" applyAlignment="1">
      <alignment vertical="center"/>
    </xf>
    <xf numFmtId="43" fontId="18" fillId="49" borderId="11" xfId="43" applyFont="1" applyFill="1" applyBorder="1" applyAlignment="1">
      <alignment vertical="center"/>
    </xf>
    <xf numFmtId="43" fontId="28" fillId="49" borderId="0" xfId="0" applyNumberFormat="1" applyFont="1" applyFill="1" applyAlignment="1">
      <alignment horizontal="right" vertical="center" indent="1"/>
    </xf>
    <xf numFmtId="10" fontId="18" fillId="49" borderId="0" xfId="0" applyNumberFormat="1" applyFont="1" applyFill="1" applyAlignment="1">
      <alignment vertical="center"/>
    </xf>
    <xf numFmtId="43" fontId="18" fillId="49" borderId="0" xfId="0" applyNumberFormat="1" applyFont="1" applyFill="1" applyAlignment="1">
      <alignment horizontal="right" vertical="center"/>
    </xf>
    <xf numFmtId="43" fontId="20" fillId="50" borderId="0" xfId="0" applyNumberFormat="1" applyFont="1" applyFill="1" applyBorder="1" applyAlignment="1">
      <alignment vertical="center"/>
    </xf>
    <xf numFmtId="43" fontId="18" fillId="50" borderId="0" xfId="0" applyNumberFormat="1" applyFont="1" applyFill="1" applyAlignment="1">
      <alignment horizontal="right" vertical="center" indent="1"/>
    </xf>
    <xf numFmtId="43" fontId="18" fillId="50" borderId="0" xfId="43" applyFont="1" applyFill="1" applyAlignment="1">
      <alignment vertical="center"/>
    </xf>
    <xf numFmtId="10" fontId="24" fillId="50" borderId="0" xfId="0" applyNumberFormat="1" applyFont="1" applyFill="1" applyAlignment="1">
      <alignment vertical="center"/>
    </xf>
    <xf numFmtId="0" fontId="18" fillId="50" borderId="0" xfId="0" applyFont="1" applyFill="1" applyAlignment="1">
      <alignment vertical="center"/>
    </xf>
    <xf numFmtId="43" fontId="18" fillId="50" borderId="0" xfId="0" applyNumberFormat="1" applyFont="1" applyFill="1" applyAlignment="1">
      <alignment vertical="center"/>
    </xf>
    <xf numFmtId="43" fontId="28" fillId="50" borderId="0" xfId="0" applyNumberFormat="1" applyFont="1" applyFill="1" applyAlignment="1">
      <alignment horizontal="right" vertical="center"/>
    </xf>
    <xf numFmtId="43" fontId="18" fillId="50" borderId="11" xfId="0" applyNumberFormat="1" applyFont="1" applyFill="1" applyBorder="1" applyAlignment="1">
      <alignment vertical="center"/>
    </xf>
    <xf numFmtId="43" fontId="18" fillId="50" borderId="11" xfId="43" applyFont="1" applyFill="1" applyBorder="1" applyAlignment="1">
      <alignment vertical="center"/>
    </xf>
    <xf numFmtId="43" fontId="28" fillId="50" borderId="0" xfId="0" applyNumberFormat="1" applyFont="1" applyFill="1" applyAlignment="1">
      <alignment horizontal="right" vertical="center" indent="1"/>
    </xf>
    <xf numFmtId="10" fontId="18" fillId="50" borderId="0" xfId="0" applyNumberFormat="1" applyFont="1" applyFill="1" applyAlignment="1">
      <alignment vertical="center"/>
    </xf>
    <xf numFmtId="43" fontId="18" fillId="50" borderId="0" xfId="0" applyNumberFormat="1" applyFont="1" applyFill="1" applyAlignment="1">
      <alignment horizontal="center" vertical="center"/>
    </xf>
    <xf numFmtId="43" fontId="20" fillId="53" borderId="0" xfId="0" applyNumberFormat="1" applyFont="1" applyFill="1" applyBorder="1" applyAlignment="1">
      <alignment vertical="center"/>
    </xf>
    <xf numFmtId="43" fontId="18" fillId="53" borderId="0" xfId="0" applyNumberFormat="1" applyFont="1" applyFill="1" applyAlignment="1">
      <alignment horizontal="right" vertical="center" indent="1"/>
    </xf>
    <xf numFmtId="43" fontId="18" fillId="53" borderId="0" xfId="43" applyFont="1" applyFill="1" applyAlignment="1">
      <alignment vertical="center"/>
    </xf>
    <xf numFmtId="10" fontId="24" fillId="53" borderId="0" xfId="0" applyNumberFormat="1" applyFont="1" applyFill="1" applyAlignment="1">
      <alignment vertical="center"/>
    </xf>
    <xf numFmtId="0" fontId="18" fillId="53" borderId="0" xfId="0" applyFont="1" applyFill="1" applyAlignment="1">
      <alignment vertical="center"/>
    </xf>
    <xf numFmtId="43" fontId="18" fillId="53" borderId="0" xfId="0" applyNumberFormat="1" applyFont="1" applyFill="1" applyAlignment="1">
      <alignment vertical="center"/>
    </xf>
    <xf numFmtId="43" fontId="28" fillId="53" borderId="0" xfId="0" applyNumberFormat="1" applyFont="1" applyFill="1" applyAlignment="1">
      <alignment horizontal="right" vertical="center"/>
    </xf>
    <xf numFmtId="43" fontId="18" fillId="53" borderId="11" xfId="0" applyNumberFormat="1" applyFont="1" applyFill="1" applyBorder="1" applyAlignment="1">
      <alignment vertical="center"/>
    </xf>
    <xf numFmtId="43" fontId="18" fillId="53" borderId="11" xfId="43" applyFont="1" applyFill="1" applyBorder="1" applyAlignment="1">
      <alignment vertical="center"/>
    </xf>
    <xf numFmtId="43" fontId="28" fillId="53" borderId="0" xfId="0" applyNumberFormat="1" applyFont="1" applyFill="1" applyAlignment="1">
      <alignment horizontal="right" vertical="center" indent="1"/>
    </xf>
    <xf numFmtId="10" fontId="18" fillId="53" borderId="0" xfId="0" applyNumberFormat="1" applyFont="1" applyFill="1" applyAlignment="1">
      <alignment vertical="center"/>
    </xf>
    <xf numFmtId="43" fontId="18" fillId="53" borderId="0" xfId="0" applyNumberFormat="1" applyFont="1" applyFill="1" applyAlignment="1">
      <alignment horizontal="center" vertical="center"/>
    </xf>
    <xf numFmtId="0" fontId="18" fillId="0" borderId="0" xfId="0" applyFont="1" applyFill="1" applyAlignment="1">
      <alignment horizontal="right" vertical="center"/>
    </xf>
    <xf numFmtId="43" fontId="36" fillId="53" borderId="0" xfId="0" applyNumberFormat="1" applyFont="1" applyFill="1" applyBorder="1" applyAlignment="1">
      <alignment horizontal="center" vertical="center"/>
    </xf>
    <xf numFmtId="43" fontId="36" fillId="50" borderId="0" xfId="0" applyNumberFormat="1" applyFont="1" applyFill="1" applyBorder="1" applyAlignment="1">
      <alignment horizontal="center" vertical="center"/>
    </xf>
    <xf numFmtId="43" fontId="36" fillId="49" borderId="0" xfId="0" applyNumberFormat="1" applyFont="1" applyFill="1" applyBorder="1" applyAlignment="1">
      <alignment horizontal="center" vertical="center"/>
    </xf>
    <xf numFmtId="44" fontId="18" fillId="49" borderId="0" xfId="0" applyNumberFormat="1" applyFont="1" applyFill="1" applyAlignment="1">
      <alignment vertical="center"/>
    </xf>
    <xf numFmtId="44" fontId="18" fillId="49" borderId="0" xfId="0" applyNumberFormat="1" applyFont="1" applyFill="1" applyAlignment="1">
      <alignment horizontal="right" vertical="center"/>
    </xf>
    <xf numFmtId="44" fontId="18" fillId="50" borderId="0" xfId="0" applyNumberFormat="1" applyFont="1" applyFill="1" applyAlignment="1">
      <alignment horizontal="right" vertical="center"/>
    </xf>
    <xf numFmtId="44" fontId="18" fillId="53" borderId="0" xfId="0" applyNumberFormat="1" applyFont="1" applyFill="1" applyAlignment="1">
      <alignment horizontal="right" vertical="center"/>
    </xf>
    <xf numFmtId="43" fontId="90" fillId="54" borderId="0" xfId="0" applyNumberFormat="1" applyFont="1" applyFill="1" applyAlignment="1">
      <alignment horizontal="center" vertical="center"/>
    </xf>
    <xf numFmtId="44" fontId="56" fillId="54" borderId="0" xfId="0" applyNumberFormat="1" applyFont="1" applyFill="1" applyAlignment="1">
      <alignment horizontal="right" vertical="center"/>
    </xf>
    <xf numFmtId="43" fontId="56" fillId="54" borderId="0" xfId="0" applyNumberFormat="1" applyFont="1" applyFill="1" applyAlignment="1">
      <alignment vertical="center"/>
    </xf>
    <xf numFmtId="43" fontId="90" fillId="54" borderId="0" xfId="0" applyNumberFormat="1" applyFont="1" applyFill="1" applyAlignment="1">
      <alignment vertical="center"/>
    </xf>
    <xf numFmtId="43" fontId="56" fillId="54" borderId="11" xfId="0" applyNumberFormat="1" applyFont="1" applyFill="1" applyBorder="1" applyAlignment="1">
      <alignment vertical="center"/>
    </xf>
    <xf numFmtId="0" fontId="56" fillId="54" borderId="0" xfId="0" applyFont="1" applyFill="1" applyAlignment="1">
      <alignment horizontal="right" vertical="center"/>
    </xf>
    <xf numFmtId="43" fontId="56" fillId="54" borderId="0" xfId="0" applyNumberFormat="1" applyFont="1" applyFill="1" applyAlignment="1">
      <alignment horizontal="right" vertical="center"/>
    </xf>
    <xf numFmtId="43" fontId="90" fillId="45" borderId="0" xfId="0" applyNumberFormat="1" applyFont="1" applyFill="1" applyAlignment="1">
      <alignment horizontal="center" vertical="center"/>
    </xf>
    <xf numFmtId="44" fontId="56" fillId="45" borderId="0" xfId="0" applyNumberFormat="1" applyFont="1" applyFill="1" applyAlignment="1">
      <alignment horizontal="right" vertical="center"/>
    </xf>
    <xf numFmtId="43" fontId="56" fillId="45" borderId="0" xfId="0" applyNumberFormat="1" applyFont="1" applyFill="1" applyAlignment="1">
      <alignment vertical="center"/>
    </xf>
    <xf numFmtId="43" fontId="90" fillId="45" borderId="0" xfId="0" applyNumberFormat="1" applyFont="1" applyFill="1" applyAlignment="1">
      <alignment vertical="center"/>
    </xf>
    <xf numFmtId="43" fontId="56" fillId="45" borderId="11" xfId="0" applyNumberFormat="1" applyFont="1" applyFill="1" applyBorder="1" applyAlignment="1">
      <alignment vertical="center"/>
    </xf>
    <xf numFmtId="0" fontId="56" fillId="45" borderId="0" xfId="0" applyFont="1" applyFill="1" applyAlignment="1">
      <alignment horizontal="right" vertical="center"/>
    </xf>
    <xf numFmtId="43" fontId="56" fillId="45" borderId="0" xfId="0" applyNumberFormat="1" applyFont="1" applyFill="1" applyAlignment="1">
      <alignment horizontal="right" vertical="center"/>
    </xf>
    <xf numFmtId="44" fontId="90" fillId="49" borderId="0" xfId="0" applyNumberFormat="1" applyFont="1" applyFill="1" applyAlignment="1">
      <alignment vertical="center"/>
    </xf>
    <xf numFmtId="44" fontId="56" fillId="49" borderId="0" xfId="0" applyNumberFormat="1" applyFont="1" applyFill="1" applyAlignment="1">
      <alignment horizontal="right" vertical="center"/>
    </xf>
    <xf numFmtId="43" fontId="56" fillId="49" borderId="0" xfId="0" applyNumberFormat="1" applyFont="1" applyFill="1" applyAlignment="1">
      <alignment vertical="center"/>
    </xf>
    <xf numFmtId="43" fontId="56" fillId="49" borderId="11" xfId="0" applyNumberFormat="1" applyFont="1" applyFill="1" applyBorder="1" applyAlignment="1">
      <alignment vertical="center"/>
    </xf>
    <xf numFmtId="43" fontId="90" fillId="49" borderId="0" xfId="0" applyNumberFormat="1" applyFont="1" applyFill="1" applyAlignment="1">
      <alignment vertical="center"/>
    </xf>
    <xf numFmtId="0" fontId="56" fillId="49" borderId="0" xfId="0" applyFont="1" applyFill="1" applyAlignment="1">
      <alignment horizontal="right" vertical="center"/>
    </xf>
    <xf numFmtId="43" fontId="56" fillId="49" borderId="0" xfId="0" applyNumberFormat="1" applyFont="1" applyFill="1" applyAlignment="1">
      <alignment horizontal="right" vertical="center"/>
    </xf>
    <xf numFmtId="43" fontId="90" fillId="50" borderId="0" xfId="0" applyNumberFormat="1" applyFont="1" applyFill="1" applyAlignment="1">
      <alignment vertical="center"/>
    </xf>
    <xf numFmtId="0" fontId="56" fillId="50" borderId="0" xfId="0" applyFont="1" applyFill="1" applyAlignment="1">
      <alignment vertical="center"/>
    </xf>
    <xf numFmtId="43" fontId="56" fillId="50" borderId="0" xfId="0" applyNumberFormat="1" applyFont="1" applyFill="1" applyAlignment="1">
      <alignment vertical="center"/>
    </xf>
    <xf numFmtId="44" fontId="90" fillId="50" borderId="0" xfId="0" applyNumberFormat="1" applyFont="1" applyFill="1" applyAlignment="1">
      <alignment vertical="center"/>
    </xf>
    <xf numFmtId="44" fontId="56" fillId="50" borderId="0" xfId="0" applyNumberFormat="1" applyFont="1" applyFill="1" applyAlignment="1">
      <alignment horizontal="right" vertical="center"/>
    </xf>
    <xf numFmtId="43" fontId="56" fillId="50" borderId="11" xfId="0" applyNumberFormat="1" applyFont="1" applyFill="1" applyBorder="1" applyAlignment="1">
      <alignment vertical="center"/>
    </xf>
    <xf numFmtId="43" fontId="56" fillId="50" borderId="0" xfId="0" applyNumberFormat="1" applyFont="1" applyFill="1" applyAlignment="1">
      <alignment horizontal="right" vertical="center"/>
    </xf>
    <xf numFmtId="0" fontId="56" fillId="53" borderId="0" xfId="0" applyFont="1" applyFill="1" applyAlignment="1">
      <alignment vertical="center"/>
    </xf>
    <xf numFmtId="43" fontId="56" fillId="53" borderId="0" xfId="0" applyNumberFormat="1" applyFont="1" applyFill="1" applyAlignment="1">
      <alignment vertical="center"/>
    </xf>
    <xf numFmtId="44" fontId="56" fillId="53" borderId="0" xfId="0" applyNumberFormat="1" applyFont="1" applyFill="1" applyAlignment="1">
      <alignment horizontal="right" vertical="center"/>
    </xf>
    <xf numFmtId="43" fontId="56" fillId="53" borderId="11" xfId="0" applyNumberFormat="1" applyFont="1" applyFill="1" applyBorder="1" applyAlignment="1">
      <alignment vertical="center"/>
    </xf>
    <xf numFmtId="43" fontId="56" fillId="53" borderId="0" xfId="0" applyNumberFormat="1" applyFont="1" applyFill="1" applyAlignment="1">
      <alignment horizontal="right" vertical="center"/>
    </xf>
    <xf numFmtId="44" fontId="56" fillId="44" borderId="0" xfId="0" applyNumberFormat="1" applyFont="1" applyFill="1" applyAlignment="1">
      <alignment horizontal="right" vertical="center"/>
    </xf>
    <xf numFmtId="43" fontId="56" fillId="44" borderId="0" xfId="0" applyNumberFormat="1" applyFont="1" applyFill="1" applyAlignment="1">
      <alignment vertical="center"/>
    </xf>
    <xf numFmtId="43" fontId="90" fillId="44" borderId="0" xfId="0" applyNumberFormat="1" applyFont="1" applyFill="1" applyAlignment="1">
      <alignment vertical="center"/>
    </xf>
    <xf numFmtId="43" fontId="56" fillId="44" borderId="11" xfId="0" applyNumberFormat="1" applyFont="1" applyFill="1" applyBorder="1" applyAlignment="1">
      <alignment vertical="center"/>
    </xf>
    <xf numFmtId="0" fontId="56" fillId="44" borderId="0" xfId="0" applyFont="1" applyFill="1" applyAlignment="1">
      <alignment horizontal="right" vertical="center"/>
    </xf>
    <xf numFmtId="43" fontId="56" fillId="44" borderId="0" xfId="0" applyNumberFormat="1" applyFont="1" applyFill="1" applyAlignment="1">
      <alignment horizontal="right" vertical="center"/>
    </xf>
    <xf numFmtId="43" fontId="18" fillId="44" borderId="0" xfId="0" applyNumberFormat="1" applyFont="1" applyFill="1" applyAlignment="1">
      <alignment vertical="center"/>
    </xf>
    <xf numFmtId="43" fontId="42" fillId="55" borderId="0" xfId="0" applyNumberFormat="1" applyFont="1" applyFill="1" applyAlignment="1">
      <alignment horizontal="center" vertical="center"/>
    </xf>
    <xf numFmtId="43" fontId="42" fillId="55" borderId="0" xfId="0" applyNumberFormat="1" applyFont="1" applyFill="1" applyAlignment="1">
      <alignment vertical="center"/>
    </xf>
    <xf numFmtId="43" fontId="44" fillId="45" borderId="0" xfId="0" applyNumberFormat="1" applyFont="1" applyFill="1" applyBorder="1" applyAlignment="1">
      <alignment vertical="center"/>
    </xf>
    <xf numFmtId="43" fontId="42" fillId="45" borderId="0" xfId="0" applyNumberFormat="1" applyFont="1" applyFill="1" applyAlignment="1">
      <alignment vertical="center"/>
    </xf>
    <xf numFmtId="0" fontId="18" fillId="46" borderId="0" xfId="0" applyFont="1" applyFill="1" applyAlignment="1">
      <alignment vertical="center"/>
    </xf>
    <xf numFmtId="0" fontId="19" fillId="46" borderId="0" xfId="0" applyFont="1" applyFill="1" applyAlignment="1">
      <alignment horizontal="center" vertical="center" wrapText="1"/>
    </xf>
    <xf numFmtId="0" fontId="18" fillId="46" borderId="0" xfId="0" applyFont="1" applyFill="1" applyAlignment="1">
      <alignment horizontal="center" vertical="center"/>
    </xf>
    <xf numFmtId="0" fontId="19" fillId="44" borderId="0" xfId="0" applyFont="1" applyFill="1" applyAlignment="1">
      <alignment horizontal="center" vertical="center"/>
    </xf>
    <xf numFmtId="43" fontId="47" fillId="56" borderId="16" xfId="43" applyFont="1" applyFill="1" applyBorder="1" applyAlignment="1">
      <alignment vertical="center"/>
    </xf>
    <xf numFmtId="43" fontId="47" fillId="57" borderId="16" xfId="43" applyFont="1" applyFill="1" applyBorder="1" applyAlignment="1">
      <alignment vertical="center"/>
    </xf>
    <xf numFmtId="43" fontId="47" fillId="43" borderId="16" xfId="43" applyFont="1" applyFill="1" applyBorder="1" applyAlignment="1">
      <alignment vertical="center"/>
    </xf>
    <xf numFmtId="43" fontId="47" fillId="36" borderId="16" xfId="43" applyFont="1" applyFill="1" applyBorder="1" applyAlignment="1">
      <alignment vertical="center"/>
    </xf>
    <xf numFmtId="43" fontId="47" fillId="39" borderId="16" xfId="43" applyFont="1" applyFill="1" applyBorder="1" applyAlignment="1">
      <alignment vertical="center"/>
    </xf>
    <xf numFmtId="165" fontId="56" fillId="53" borderId="0" xfId="0" applyNumberFormat="1" applyFont="1" applyFill="1" applyAlignment="1">
      <alignment vertical="center" textRotation="90" wrapText="1"/>
    </xf>
    <xf numFmtId="166" fontId="56" fillId="53" borderId="0" xfId="0" applyNumberFormat="1" applyFont="1" applyFill="1" applyAlignment="1">
      <alignment vertical="center" textRotation="90" wrapText="1"/>
    </xf>
    <xf numFmtId="44" fontId="17" fillId="53" borderId="0" xfId="42" applyFont="1" applyFill="1" applyAlignment="1">
      <alignment vertical="center" textRotation="90"/>
    </xf>
    <xf numFmtId="0" fontId="17" fillId="53" borderId="0" xfId="0" applyFont="1" applyFill="1" applyAlignment="1">
      <alignment vertical="center" wrapText="1"/>
    </xf>
    <xf numFmtId="165" fontId="17" fillId="53" borderId="0" xfId="0" applyNumberFormat="1" applyFont="1" applyFill="1" applyAlignment="1">
      <alignment horizontal="center" vertical="center" textRotation="90" wrapText="1"/>
    </xf>
    <xf numFmtId="165" fontId="94" fillId="53" borderId="0" xfId="0" applyNumberFormat="1" applyFont="1" applyFill="1" applyAlignment="1">
      <alignment horizontal="center" vertical="center" textRotation="90" wrapText="1"/>
    </xf>
    <xf numFmtId="166" fontId="95" fillId="53" borderId="0" xfId="0" applyNumberFormat="1" applyFont="1" applyFill="1" applyAlignment="1">
      <alignment horizontal="center" vertical="center" textRotation="90" wrapText="1"/>
    </xf>
    <xf numFmtId="165" fontId="95" fillId="53" borderId="0" xfId="0" applyNumberFormat="1" applyFont="1" applyFill="1" applyAlignment="1">
      <alignment horizontal="center" vertical="center" textRotation="90" wrapText="1"/>
    </xf>
    <xf numFmtId="165" fontId="56" fillId="53" borderId="0" xfId="0" applyNumberFormat="1" applyFont="1" applyFill="1" applyBorder="1" applyAlignment="1">
      <alignment vertical="center" textRotation="90" wrapText="1"/>
    </xf>
    <xf numFmtId="166" fontId="56" fillId="53" borderId="0" xfId="0" applyNumberFormat="1" applyFont="1" applyFill="1" applyBorder="1" applyAlignment="1">
      <alignment vertical="center" textRotation="90" wrapText="1"/>
    </xf>
    <xf numFmtId="44" fontId="17" fillId="53" borderId="0" xfId="42" applyFont="1" applyFill="1" applyBorder="1" applyAlignment="1">
      <alignment horizontal="center" vertical="center" textRotation="90"/>
    </xf>
    <xf numFmtId="0" fontId="17" fillId="53" borderId="0" xfId="0" applyFont="1" applyFill="1" applyBorder="1" applyAlignment="1">
      <alignment horizontal="center" vertical="center" wrapText="1"/>
    </xf>
    <xf numFmtId="43" fontId="24" fillId="0" borderId="0" xfId="0" applyNumberFormat="1" applyFont="1" applyAlignment="1">
      <alignment vertical="center"/>
    </xf>
    <xf numFmtId="43" fontId="26" fillId="36" borderId="0" xfId="0" applyNumberFormat="1" applyFont="1" applyFill="1" applyAlignment="1">
      <alignment vertical="center"/>
    </xf>
    <xf numFmtId="0" fontId="24" fillId="0" borderId="0" xfId="0" applyFont="1" applyAlignment="1">
      <alignment vertical="center"/>
    </xf>
    <xf numFmtId="43" fontId="26" fillId="37" borderId="0" xfId="0" applyNumberFormat="1" applyFont="1" applyFill="1" applyAlignment="1">
      <alignment vertical="center"/>
    </xf>
    <xf numFmtId="43" fontId="25" fillId="38" borderId="0" xfId="0" applyNumberFormat="1" applyFont="1" applyFill="1" applyAlignment="1">
      <alignment vertical="center"/>
    </xf>
    <xf numFmtId="0" fontId="42" fillId="0" borderId="0" xfId="0" applyFont="1" applyAlignment="1">
      <alignment vertical="center"/>
    </xf>
    <xf numFmtId="43" fontId="28" fillId="0" borderId="0" xfId="43" applyFont="1"/>
    <xf numFmtId="43" fontId="28" fillId="0" borderId="0" xfId="43" applyFont="1" applyBorder="1"/>
    <xf numFmtId="43" fontId="18" fillId="0" borderId="0" xfId="43" applyFont="1" applyAlignment="1">
      <alignment vertical="center"/>
    </xf>
    <xf numFmtId="43" fontId="19" fillId="37" borderId="0" xfId="43" applyFont="1" applyFill="1" applyAlignment="1">
      <alignment vertical="center"/>
    </xf>
    <xf numFmtId="43" fontId="21" fillId="38" borderId="0" xfId="43" applyFont="1" applyFill="1" applyAlignment="1">
      <alignment vertical="center"/>
    </xf>
    <xf numFmtId="10" fontId="29" fillId="38" borderId="0" xfId="0" applyNumberFormat="1" applyFont="1" applyFill="1" applyAlignment="1">
      <alignment vertical="center"/>
    </xf>
    <xf numFmtId="10" fontId="28" fillId="39" borderId="0" xfId="0" applyNumberFormat="1" applyFont="1" applyFill="1" applyAlignment="1">
      <alignment vertical="center"/>
    </xf>
    <xf numFmtId="10" fontId="27" fillId="36" borderId="0" xfId="0" applyNumberFormat="1" applyFont="1" applyFill="1" applyAlignment="1">
      <alignment vertical="center"/>
    </xf>
    <xf numFmtId="10" fontId="28" fillId="0" borderId="0" xfId="0" applyNumberFormat="1" applyFont="1" applyFill="1" applyAlignment="1">
      <alignment vertical="center"/>
    </xf>
    <xf numFmtId="10" fontId="28" fillId="0" borderId="0" xfId="0" applyNumberFormat="1" applyFont="1" applyAlignment="1">
      <alignment vertical="center"/>
    </xf>
    <xf numFmtId="43" fontId="18" fillId="0" borderId="0" xfId="43" applyFont="1" applyFill="1" applyAlignment="1">
      <alignment vertical="center"/>
    </xf>
    <xf numFmtId="0" fontId="18" fillId="0" borderId="0" xfId="0" applyFont="1" applyFill="1" applyAlignment="1">
      <alignment horizontal="center" vertical="center" wrapText="1"/>
    </xf>
    <xf numFmtId="0" fontId="18" fillId="51" borderId="0" xfId="0" applyFont="1" applyFill="1" applyAlignment="1">
      <alignment vertical="center"/>
    </xf>
    <xf numFmtId="43" fontId="18" fillId="51" borderId="0" xfId="43" applyFont="1" applyFill="1" applyAlignment="1">
      <alignment vertical="center"/>
    </xf>
    <xf numFmtId="10" fontId="18" fillId="51" borderId="0" xfId="43" applyNumberFormat="1" applyFont="1" applyFill="1" applyAlignment="1">
      <alignment vertical="center"/>
    </xf>
    <xf numFmtId="10" fontId="18" fillId="51" borderId="0" xfId="0" applyNumberFormat="1" applyFont="1" applyFill="1" applyAlignment="1">
      <alignment vertical="center"/>
    </xf>
    <xf numFmtId="43" fontId="47" fillId="51" borderId="0" xfId="43" applyFont="1" applyFill="1" applyAlignment="1">
      <alignment vertical="center"/>
    </xf>
    <xf numFmtId="10" fontId="18" fillId="0" borderId="0" xfId="0" applyNumberFormat="1" applyFont="1" applyAlignment="1">
      <alignment vertical="center"/>
    </xf>
    <xf numFmtId="0" fontId="36" fillId="0" borderId="0" xfId="0" applyNumberFormat="1" applyFont="1" applyFill="1" applyBorder="1" applyAlignment="1">
      <alignment vertical="center"/>
    </xf>
    <xf numFmtId="0" fontId="36" fillId="0" borderId="0" xfId="0" applyNumberFormat="1" applyFont="1" applyBorder="1" applyAlignment="1">
      <alignment vertical="center"/>
    </xf>
    <xf numFmtId="0" fontId="36" fillId="0" borderId="10" xfId="0" applyNumberFormat="1" applyFont="1" applyFill="1" applyBorder="1" applyAlignment="1">
      <alignment vertical="center"/>
    </xf>
    <xf numFmtId="43" fontId="39" fillId="34" borderId="0" xfId="0" applyNumberFormat="1" applyFont="1" applyFill="1" applyAlignment="1">
      <alignment vertical="center"/>
    </xf>
    <xf numFmtId="0" fontId="18" fillId="51" borderId="16" xfId="0" applyFont="1" applyFill="1" applyBorder="1" applyAlignment="1">
      <alignment horizontal="center" vertical="center" wrapText="1"/>
    </xf>
    <xf numFmtId="0" fontId="36" fillId="51" borderId="16" xfId="0" applyFont="1" applyFill="1" applyBorder="1" applyAlignment="1">
      <alignment horizontal="center" vertical="center" wrapText="1"/>
    </xf>
    <xf numFmtId="49" fontId="32" fillId="0" borderId="0" xfId="0" applyNumberFormat="1" applyFont="1" applyFill="1" applyAlignment="1">
      <alignment vertical="center"/>
    </xf>
    <xf numFmtId="49" fontId="67" fillId="39" borderId="0" xfId="0" applyNumberFormat="1" applyFont="1" applyFill="1" applyAlignment="1">
      <alignment vertical="center"/>
    </xf>
    <xf numFmtId="49" fontId="76" fillId="39" borderId="0" xfId="0" applyNumberFormat="1" applyFont="1" applyFill="1" applyAlignment="1">
      <alignment vertical="center"/>
    </xf>
    <xf numFmtId="49" fontId="73" fillId="39" borderId="0" xfId="0" applyNumberFormat="1" applyFont="1" applyFill="1" applyAlignment="1">
      <alignment vertical="center"/>
    </xf>
    <xf numFmtId="43" fontId="42" fillId="51" borderId="0" xfId="0" applyNumberFormat="1" applyFont="1" applyFill="1" applyAlignment="1">
      <alignment vertical="center"/>
    </xf>
    <xf numFmtId="49" fontId="21" fillId="53" borderId="0" xfId="0" applyNumberFormat="1" applyFont="1" applyFill="1" applyAlignment="1">
      <alignment horizontal="center" vertical="center"/>
    </xf>
    <xf numFmtId="49" fontId="21" fillId="53" borderId="0" xfId="0" applyNumberFormat="1" applyFont="1" applyFill="1" applyAlignment="1">
      <alignment horizontal="center" vertical="center" wrapText="1"/>
    </xf>
    <xf numFmtId="49" fontId="56" fillId="53" borderId="0" xfId="0" applyNumberFormat="1" applyFont="1" applyFill="1" applyAlignment="1">
      <alignment horizontal="center" vertical="center"/>
    </xf>
    <xf numFmtId="49" fontId="32" fillId="35" borderId="0" xfId="0" applyNumberFormat="1" applyFont="1" applyFill="1" applyAlignment="1">
      <alignment vertical="center"/>
    </xf>
    <xf numFmtId="49" fontId="32" fillId="38" borderId="0" xfId="0" applyNumberFormat="1" applyFont="1" applyFill="1" applyAlignment="1">
      <alignment vertical="center"/>
    </xf>
    <xf numFmtId="49" fontId="32" fillId="33" borderId="0" xfId="0" applyNumberFormat="1" applyFont="1" applyFill="1" applyAlignment="1">
      <alignment vertical="center"/>
    </xf>
    <xf numFmtId="49" fontId="67" fillId="0" borderId="0" xfId="0" applyNumberFormat="1" applyFont="1" applyAlignment="1">
      <alignment vertical="center"/>
    </xf>
    <xf numFmtId="49" fontId="32" fillId="37" borderId="0" xfId="0" applyNumberFormat="1" applyFont="1" applyFill="1" applyAlignment="1">
      <alignment vertical="center"/>
    </xf>
    <xf numFmtId="49" fontId="97" fillId="39" borderId="0" xfId="0" applyNumberFormat="1" applyFont="1" applyFill="1" applyAlignment="1">
      <alignment vertical="center"/>
    </xf>
    <xf numFmtId="49" fontId="67" fillId="39" borderId="0" xfId="0" applyNumberFormat="1" applyFont="1" applyFill="1" applyBorder="1" applyAlignment="1">
      <alignment vertical="center"/>
    </xf>
    <xf numFmtId="49" fontId="67" fillId="39" borderId="10" xfId="0" applyNumberFormat="1" applyFont="1" applyFill="1" applyBorder="1" applyAlignment="1">
      <alignment vertical="center"/>
    </xf>
    <xf numFmtId="49" fontId="67" fillId="0" borderId="0" xfId="0" applyNumberFormat="1" applyFont="1" applyFill="1" applyAlignment="1">
      <alignment vertical="center"/>
    </xf>
    <xf numFmtId="49" fontId="32" fillId="36" borderId="0" xfId="0" applyNumberFormat="1" applyFont="1" applyFill="1" applyAlignment="1">
      <alignment vertical="center"/>
    </xf>
    <xf numFmtId="49" fontId="67" fillId="0" borderId="11" xfId="0" applyNumberFormat="1" applyFont="1" applyBorder="1" applyAlignment="1">
      <alignment vertical="center"/>
    </xf>
    <xf numFmtId="49" fontId="31" fillId="36" borderId="0" xfId="0" applyNumberFormat="1" applyFont="1" applyFill="1" applyAlignment="1">
      <alignment horizontal="center" vertical="center"/>
    </xf>
    <xf numFmtId="49" fontId="31" fillId="0" borderId="0" xfId="0" applyNumberFormat="1" applyFont="1" applyAlignment="1">
      <alignment horizontal="center" vertical="center"/>
    </xf>
    <xf numFmtId="49" fontId="31" fillId="37" borderId="0" xfId="0" applyNumberFormat="1" applyFont="1" applyFill="1" applyAlignment="1">
      <alignment horizontal="center" vertical="center"/>
    </xf>
    <xf numFmtId="49" fontId="92" fillId="39" borderId="0" xfId="0" applyNumberFormat="1" applyFont="1" applyFill="1" applyBorder="1" applyAlignment="1">
      <alignment vertical="center"/>
    </xf>
    <xf numFmtId="49" fontId="36" fillId="39" borderId="0" xfId="0" applyNumberFormat="1" applyFont="1" applyFill="1" applyAlignment="1">
      <alignment vertical="center"/>
    </xf>
    <xf numFmtId="49" fontId="68" fillId="39" borderId="0" xfId="0" applyNumberFormat="1" applyFont="1" applyFill="1" applyAlignment="1">
      <alignment vertical="center"/>
    </xf>
    <xf numFmtId="49" fontId="32" fillId="39" borderId="0" xfId="0" applyNumberFormat="1" applyFont="1" applyFill="1" applyBorder="1" applyAlignment="1">
      <alignment vertical="center"/>
    </xf>
    <xf numFmtId="49" fontId="97" fillId="39" borderId="0" xfId="0" applyNumberFormat="1" applyFont="1" applyFill="1" applyBorder="1" applyAlignment="1">
      <alignment vertical="center"/>
    </xf>
    <xf numFmtId="49" fontId="67" fillId="39" borderId="0" xfId="0" quotePrefix="1" applyNumberFormat="1" applyFont="1" applyFill="1" applyBorder="1" applyAlignment="1">
      <alignment horizontal="left" vertical="center"/>
    </xf>
    <xf numFmtId="49" fontId="68" fillId="39" borderId="0" xfId="0" applyNumberFormat="1" applyFont="1" applyFill="1" applyBorder="1" applyAlignment="1">
      <alignment vertical="center"/>
    </xf>
    <xf numFmtId="49" fontId="36" fillId="0" borderId="0" xfId="0" applyNumberFormat="1" applyFont="1" applyAlignment="1">
      <alignment vertical="center"/>
    </xf>
    <xf numFmtId="49" fontId="32" fillId="39" borderId="0" xfId="0" applyNumberFormat="1" applyFont="1" applyFill="1" applyAlignment="1">
      <alignment vertical="center"/>
    </xf>
    <xf numFmtId="49" fontId="73" fillId="39" borderId="0" xfId="0" applyNumberFormat="1" applyFont="1" applyFill="1" applyAlignment="1">
      <alignment horizontal="center" vertical="center"/>
    </xf>
    <xf numFmtId="49" fontId="92" fillId="39" borderId="0" xfId="0" applyNumberFormat="1" applyFont="1" applyFill="1" applyAlignment="1">
      <alignment vertical="center"/>
    </xf>
    <xf numFmtId="49" fontId="32" fillId="0" borderId="0" xfId="0" applyNumberFormat="1" applyFont="1" applyFill="1" applyBorder="1" applyAlignment="1">
      <alignment vertical="center"/>
    </xf>
    <xf numFmtId="49" fontId="32" fillId="0" borderId="12" xfId="0" applyNumberFormat="1" applyFont="1" applyFill="1" applyBorder="1" applyAlignment="1">
      <alignment vertical="center"/>
    </xf>
    <xf numFmtId="49" fontId="28" fillId="0" borderId="0" xfId="0" applyNumberFormat="1" applyFont="1" applyAlignment="1">
      <alignment vertical="center"/>
    </xf>
    <xf numFmtId="49" fontId="90" fillId="53" borderId="0" xfId="0" applyNumberFormat="1" applyFont="1" applyFill="1" applyAlignment="1">
      <alignment vertical="center"/>
    </xf>
    <xf numFmtId="0" fontId="39" fillId="0" borderId="0" xfId="0" applyFont="1" applyAlignment="1">
      <alignment horizontal="center" vertical="center"/>
    </xf>
    <xf numFmtId="0" fontId="57" fillId="0" borderId="0" xfId="0" applyFont="1" applyAlignment="1">
      <alignment horizontal="center" vertical="center"/>
    </xf>
    <xf numFmtId="0" fontId="47" fillId="0" borderId="17" xfId="0" applyFont="1" applyBorder="1" applyAlignment="1">
      <alignment horizontal="center" vertical="center" wrapText="1"/>
    </xf>
    <xf numFmtId="7" fontId="0" fillId="0" borderId="23" xfId="43" applyNumberFormat="1" applyFont="1" applyBorder="1" applyAlignment="1">
      <alignment horizontal="center" vertical="center" wrapText="1"/>
    </xf>
    <xf numFmtId="7" fontId="0" fillId="0" borderId="22" xfId="43" applyNumberFormat="1" applyFont="1" applyBorder="1" applyAlignment="1">
      <alignment horizontal="center" vertical="center" wrapText="1"/>
    </xf>
    <xf numFmtId="43" fontId="47" fillId="56" borderId="19" xfId="43" applyFont="1" applyFill="1" applyBorder="1" applyAlignment="1">
      <alignment horizontal="center" vertical="center"/>
    </xf>
    <xf numFmtId="43" fontId="47" fillId="57" borderId="19" xfId="43" applyFont="1" applyFill="1" applyBorder="1" applyAlignment="1">
      <alignment horizontal="center" vertical="center"/>
    </xf>
    <xf numFmtId="43" fontId="47" fillId="43" borderId="19" xfId="43" applyFont="1" applyFill="1" applyBorder="1" applyAlignment="1">
      <alignment horizontal="center" vertical="center"/>
    </xf>
    <xf numFmtId="43" fontId="47" fillId="36" borderId="19" xfId="43" applyFont="1" applyFill="1" applyBorder="1" applyAlignment="1">
      <alignment horizontal="center" vertical="center"/>
    </xf>
    <xf numFmtId="0" fontId="47"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43" fontId="37" fillId="34" borderId="10" xfId="0" applyNumberFormat="1" applyFont="1" applyFill="1" applyBorder="1" applyAlignment="1">
      <alignment vertical="center"/>
    </xf>
    <xf numFmtId="49" fontId="99" fillId="39" borderId="0" xfId="0" applyNumberFormat="1" applyFont="1" applyFill="1" applyAlignment="1">
      <alignment vertical="center"/>
    </xf>
    <xf numFmtId="49" fontId="100" fillId="39" borderId="0" xfId="0" applyNumberFormat="1" applyFont="1" applyFill="1" applyAlignment="1">
      <alignment vertical="center"/>
    </xf>
    <xf numFmtId="0" fontId="42" fillId="0" borderId="0" xfId="0" applyFont="1" applyAlignment="1">
      <alignment horizontal="left" vertical="center" wrapText="1"/>
    </xf>
    <xf numFmtId="0" fontId="42" fillId="0" borderId="16" xfId="0" applyFont="1" applyBorder="1" applyAlignment="1">
      <alignment horizontal="left" vertical="center" wrapText="1"/>
    </xf>
    <xf numFmtId="43" fontId="90" fillId="38" borderId="0" xfId="0" applyNumberFormat="1" applyFont="1" applyFill="1" applyBorder="1" applyAlignment="1">
      <alignment vertical="center"/>
    </xf>
    <xf numFmtId="43" fontId="90" fillId="38" borderId="11" xfId="0" applyNumberFormat="1" applyFont="1" applyFill="1" applyBorder="1" applyAlignment="1">
      <alignment vertical="center"/>
    </xf>
    <xf numFmtId="43" fontId="90" fillId="38" borderId="0" xfId="0" applyNumberFormat="1" applyFont="1" applyFill="1" applyAlignment="1">
      <alignment vertical="center"/>
    </xf>
    <xf numFmtId="43" fontId="28" fillId="50" borderId="0" xfId="0" applyNumberFormat="1" applyFont="1" applyFill="1" applyAlignment="1">
      <alignment vertical="center"/>
    </xf>
    <xf numFmtId="43" fontId="40" fillId="0" borderId="0" xfId="43" applyFont="1" applyFill="1" applyAlignment="1">
      <alignment horizontal="center" vertical="center"/>
    </xf>
    <xf numFmtId="43" fontId="40" fillId="0" borderId="0" xfId="43" applyFont="1" applyFill="1" applyAlignment="1">
      <alignment horizontal="center" vertical="center" wrapText="1"/>
    </xf>
    <xf numFmtId="43" fontId="39" fillId="0" borderId="0" xfId="43" applyFont="1" applyFill="1" applyAlignment="1">
      <alignment horizontal="center" vertical="center"/>
    </xf>
    <xf numFmtId="43" fontId="39" fillId="0" borderId="0" xfId="43" applyFont="1" applyFill="1" applyAlignment="1">
      <alignment vertical="center"/>
    </xf>
    <xf numFmtId="43" fontId="39" fillId="0" borderId="0" xfId="43" applyFont="1" applyAlignment="1">
      <alignment vertical="center"/>
    </xf>
    <xf numFmtId="43" fontId="39" fillId="0" borderId="0" xfId="43" applyFont="1" applyBorder="1" applyAlignment="1">
      <alignment vertical="center"/>
    </xf>
    <xf numFmtId="43" fontId="40" fillId="0" borderId="0" xfId="43" applyFont="1" applyAlignment="1">
      <alignment vertical="center"/>
    </xf>
    <xf numFmtId="43" fontId="39" fillId="0" borderId="0" xfId="43" applyFont="1" applyFill="1" applyBorder="1" applyAlignment="1">
      <alignment vertical="center"/>
    </xf>
    <xf numFmtId="43" fontId="40" fillId="0" borderId="0" xfId="43" applyFont="1" applyFill="1" applyAlignment="1">
      <alignment vertical="center"/>
    </xf>
    <xf numFmtId="43" fontId="100" fillId="0" borderId="0" xfId="43" applyFont="1" applyAlignment="1">
      <alignment vertical="center"/>
    </xf>
    <xf numFmtId="43" fontId="63" fillId="0" borderId="0" xfId="43" applyFont="1" applyAlignment="1">
      <alignment vertical="center"/>
    </xf>
    <xf numFmtId="0" fontId="102" fillId="0" borderId="32" xfId="0" applyFont="1" applyBorder="1" applyAlignment="1">
      <alignment horizontal="left" vertical="center" wrapText="1"/>
    </xf>
    <xf numFmtId="43" fontId="57" fillId="0" borderId="0" xfId="43" applyFont="1" applyFill="1" applyAlignment="1">
      <alignment vertical="center"/>
    </xf>
    <xf numFmtId="43" fontId="57" fillId="0" borderId="0" xfId="43" applyFont="1" applyAlignment="1">
      <alignment vertical="center"/>
    </xf>
    <xf numFmtId="43" fontId="57" fillId="58" borderId="0" xfId="43" applyFont="1" applyFill="1" applyAlignment="1">
      <alignment vertical="center"/>
    </xf>
    <xf numFmtId="0" fontId="102" fillId="0" borderId="10" xfId="0" applyFont="1" applyBorder="1" applyAlignment="1">
      <alignment horizontal="left" vertical="center" wrapText="1"/>
    </xf>
    <xf numFmtId="10" fontId="0" fillId="0" borderId="0" xfId="43" applyNumberFormat="1" applyFont="1" applyAlignment="1">
      <alignment vertical="center"/>
    </xf>
    <xf numFmtId="0" fontId="39" fillId="0" borderId="0" xfId="0" applyFont="1" applyBorder="1" applyAlignment="1">
      <alignment vertical="center"/>
    </xf>
    <xf numFmtId="0" fontId="66" fillId="0" borderId="0" xfId="0" applyFont="1" applyBorder="1" applyAlignment="1">
      <alignment horizontal="center" vertical="center"/>
    </xf>
    <xf numFmtId="43" fontId="18" fillId="57" borderId="0" xfId="0" applyNumberFormat="1" applyFont="1" applyFill="1" applyAlignment="1">
      <alignment vertical="center"/>
    </xf>
    <xf numFmtId="0" fontId="18" fillId="0" borderId="11" xfId="0" applyFont="1" applyBorder="1" applyAlignment="1">
      <alignment vertical="center"/>
    </xf>
    <xf numFmtId="43" fontId="85" fillId="0" borderId="0" xfId="0" applyNumberFormat="1" applyFont="1" applyFill="1" applyBorder="1" applyAlignment="1">
      <alignment vertical="center"/>
    </xf>
    <xf numFmtId="0" fontId="69" fillId="0" borderId="0" xfId="44" quotePrefix="1" applyAlignment="1">
      <alignment horizontal="center" vertical="center"/>
    </xf>
    <xf numFmtId="0" fontId="0" fillId="0" borderId="0" xfId="0" applyAlignment="1">
      <alignment horizontal="left"/>
    </xf>
    <xf numFmtId="0" fontId="104" fillId="0" borderId="0" xfId="44" applyFont="1" applyFill="1" applyAlignment="1">
      <alignment horizontal="left" vertical="center"/>
    </xf>
    <xf numFmtId="0" fontId="104" fillId="0" borderId="0" xfId="44" applyFont="1"/>
    <xf numFmtId="0" fontId="104" fillId="0" borderId="0" xfId="44" applyFont="1" applyFill="1" applyBorder="1" applyAlignment="1">
      <alignment horizontal="left" vertical="center"/>
    </xf>
    <xf numFmtId="0" fontId="0" fillId="0" borderId="0" xfId="0" applyFont="1"/>
    <xf numFmtId="0" fontId="109" fillId="0" borderId="0" xfId="0" applyFont="1" applyAlignment="1">
      <alignment horizontal="right"/>
    </xf>
    <xf numFmtId="0" fontId="109" fillId="0" borderId="0" xfId="0" applyFont="1" applyAlignment="1">
      <alignment horizontal="left"/>
    </xf>
    <xf numFmtId="10" fontId="0" fillId="36" borderId="0" xfId="43" applyNumberFormat="1" applyFont="1" applyFill="1" applyBorder="1" applyAlignment="1">
      <alignment vertical="center"/>
    </xf>
    <xf numFmtId="10" fontId="76" fillId="0" borderId="0" xfId="0" applyNumberFormat="1" applyFont="1" applyAlignment="1">
      <alignment vertical="center"/>
    </xf>
    <xf numFmtId="10" fontId="76" fillId="0" borderId="11" xfId="0" applyNumberFormat="1" applyFont="1" applyBorder="1" applyAlignment="1">
      <alignment vertical="center"/>
    </xf>
    <xf numFmtId="10" fontId="76" fillId="36" borderId="0" xfId="43" applyNumberFormat="1" applyFont="1" applyFill="1" applyBorder="1" applyAlignment="1">
      <alignment horizontal="center" vertical="center"/>
    </xf>
    <xf numFmtId="10" fontId="76" fillId="47" borderId="0" xfId="43" applyNumberFormat="1" applyFont="1" applyFill="1" applyBorder="1" applyAlignment="1">
      <alignment vertical="center"/>
    </xf>
    <xf numFmtId="10" fontId="76" fillId="36" borderId="0" xfId="0" applyNumberFormat="1" applyFont="1" applyFill="1" applyBorder="1" applyAlignment="1">
      <alignment vertical="center"/>
    </xf>
    <xf numFmtId="10" fontId="76" fillId="36" borderId="0" xfId="43" applyNumberFormat="1" applyFont="1" applyFill="1" applyBorder="1" applyAlignment="1">
      <alignment vertical="center"/>
    </xf>
    <xf numFmtId="10" fontId="76" fillId="52" borderId="0" xfId="43" applyNumberFormat="1" applyFont="1" applyFill="1" applyBorder="1" applyAlignment="1">
      <alignment vertical="center"/>
    </xf>
    <xf numFmtId="10" fontId="76" fillId="0" borderId="10" xfId="43" applyNumberFormat="1" applyFont="1" applyBorder="1" applyAlignment="1">
      <alignment vertical="center"/>
    </xf>
    <xf numFmtId="10" fontId="76" fillId="0" borderId="0" xfId="43" applyNumberFormat="1" applyFont="1" applyAlignment="1">
      <alignment vertical="center"/>
    </xf>
    <xf numFmtId="0" fontId="42" fillId="0" borderId="16" xfId="0" quotePrefix="1" applyFont="1" applyBorder="1" applyAlignment="1">
      <alignment horizontal="left" vertical="center" wrapText="1"/>
    </xf>
    <xf numFmtId="0" fontId="18" fillId="0" borderId="32" xfId="0" applyFont="1" applyBorder="1" applyAlignment="1">
      <alignment vertical="center" wrapText="1"/>
    </xf>
    <xf numFmtId="0" fontId="16" fillId="52" borderId="0" xfId="0" applyFont="1" applyFill="1" applyBorder="1" applyAlignment="1">
      <alignment horizontal="right" vertical="center"/>
    </xf>
    <xf numFmtId="43" fontId="0" fillId="0" borderId="0" xfId="43" applyFont="1" applyFill="1" applyAlignment="1">
      <alignment vertical="center"/>
    </xf>
    <xf numFmtId="43" fontId="47" fillId="0" borderId="0" xfId="43" applyFont="1" applyFill="1" applyAlignment="1">
      <alignment vertical="center"/>
    </xf>
    <xf numFmtId="43" fontId="20" fillId="39" borderId="0" xfId="0" applyNumberFormat="1" applyFont="1" applyFill="1" applyAlignment="1">
      <alignment vertical="center"/>
    </xf>
    <xf numFmtId="43" fontId="47" fillId="60" borderId="16" xfId="43" applyFont="1" applyFill="1" applyBorder="1" applyAlignment="1">
      <alignment vertical="center"/>
    </xf>
    <xf numFmtId="43" fontId="47" fillId="61" borderId="16" xfId="43" applyFont="1" applyFill="1" applyBorder="1" applyAlignment="1">
      <alignment vertical="center"/>
    </xf>
    <xf numFmtId="43" fontId="47" fillId="62" borderId="16" xfId="43" applyFont="1" applyFill="1" applyBorder="1" applyAlignment="1">
      <alignment vertical="center"/>
    </xf>
    <xf numFmtId="43" fontId="47" fillId="63" borderId="16" xfId="43" applyFont="1" applyFill="1" applyBorder="1" applyAlignment="1">
      <alignment vertical="center"/>
    </xf>
    <xf numFmtId="43" fontId="47" fillId="39" borderId="19" xfId="43" applyFont="1" applyFill="1" applyBorder="1" applyAlignment="1">
      <alignment horizontal="center" vertical="center"/>
    </xf>
    <xf numFmtId="43" fontId="115" fillId="56" borderId="16" xfId="43" applyFont="1" applyFill="1" applyBorder="1" applyAlignment="1">
      <alignment vertical="center"/>
    </xf>
    <xf numFmtId="10" fontId="39" fillId="0" borderId="0" xfId="45" applyNumberFormat="1" applyFont="1" applyAlignment="1">
      <alignment horizontal="left" vertical="center" indent="2"/>
    </xf>
    <xf numFmtId="43" fontId="37" fillId="39" borderId="0" xfId="0" applyNumberFormat="1" applyFont="1" applyFill="1" applyAlignment="1">
      <alignment vertical="center"/>
    </xf>
    <xf numFmtId="43" fontId="115" fillId="39" borderId="0" xfId="0" applyNumberFormat="1" applyFont="1" applyFill="1" applyAlignment="1">
      <alignment vertical="center"/>
    </xf>
    <xf numFmtId="0" fontId="116" fillId="51" borderId="16" xfId="0" quotePrefix="1" applyFont="1" applyFill="1" applyBorder="1" applyAlignment="1">
      <alignment horizontal="center" vertical="center" wrapText="1"/>
    </xf>
    <xf numFmtId="0" fontId="37" fillId="58" borderId="16" xfId="0" applyFont="1" applyFill="1" applyBorder="1" applyAlignment="1">
      <alignment vertical="center" wrapText="1"/>
    </xf>
    <xf numFmtId="7" fontId="115" fillId="58" borderId="17" xfId="43" applyNumberFormat="1" applyFont="1" applyFill="1" applyBorder="1" applyAlignment="1">
      <alignment horizontal="center" vertical="center" wrapText="1"/>
    </xf>
    <xf numFmtId="0" fontId="117" fillId="58" borderId="15" xfId="0" applyFont="1" applyFill="1" applyBorder="1" applyAlignment="1">
      <alignment horizontal="center" vertical="center"/>
    </xf>
    <xf numFmtId="0" fontId="113" fillId="58" borderId="15" xfId="0" applyFont="1" applyFill="1" applyBorder="1" applyAlignment="1">
      <alignment horizontal="center" vertical="center"/>
    </xf>
    <xf numFmtId="0" fontId="114" fillId="58" borderId="17" xfId="0" applyFont="1" applyFill="1" applyBorder="1" applyAlignment="1">
      <alignment horizontal="center" vertical="center"/>
    </xf>
    <xf numFmtId="0" fontId="118" fillId="58" borderId="16" xfId="0" quotePrefix="1" applyFont="1" applyFill="1" applyBorder="1" applyAlignment="1">
      <alignment horizontal="center" vertical="center" wrapText="1"/>
    </xf>
    <xf numFmtId="7" fontId="37" fillId="58" borderId="15" xfId="43" applyNumberFormat="1" applyFont="1" applyFill="1" applyBorder="1" applyAlignment="1">
      <alignment horizontal="center" vertical="center" wrapText="1"/>
    </xf>
    <xf numFmtId="7" fontId="118" fillId="58" borderId="17" xfId="43" applyNumberFormat="1" applyFont="1" applyFill="1" applyBorder="1" applyAlignment="1">
      <alignment horizontal="center" vertical="center" wrapText="1"/>
    </xf>
    <xf numFmtId="0" fontId="119" fillId="0" borderId="16" xfId="0" applyFont="1" applyBorder="1" applyAlignment="1">
      <alignment vertical="center" wrapText="1"/>
    </xf>
    <xf numFmtId="7" fontId="116" fillId="0" borderId="15" xfId="43" applyNumberFormat="1" applyFont="1" applyBorder="1" applyAlignment="1">
      <alignment horizontal="center" vertical="center" wrapText="1"/>
    </xf>
    <xf numFmtId="7" fontId="116" fillId="0" borderId="17" xfId="43" applyNumberFormat="1" applyFont="1" applyBorder="1" applyAlignment="1">
      <alignment horizontal="center" vertical="center" wrapText="1"/>
    </xf>
    <xf numFmtId="0" fontId="119" fillId="0" borderId="16" xfId="0" applyFont="1" applyBorder="1" applyAlignment="1">
      <alignment horizontal="left" vertical="center" wrapText="1"/>
    </xf>
    <xf numFmtId="43" fontId="67" fillId="0" borderId="0" xfId="42" applyNumberFormat="1" applyFont="1" applyAlignment="1">
      <alignment horizontal="right" vertical="center"/>
    </xf>
    <xf numFmtId="43" fontId="67" fillId="0" borderId="0" xfId="43" applyFont="1" applyAlignment="1">
      <alignment vertical="center"/>
    </xf>
    <xf numFmtId="0" fontId="113" fillId="58" borderId="16" xfId="0" applyFont="1" applyFill="1" applyBorder="1" applyAlignment="1">
      <alignment vertical="center" wrapText="1"/>
    </xf>
    <xf numFmtId="165" fontId="37" fillId="58" borderId="0" xfId="43" applyNumberFormat="1" applyFont="1" applyFill="1" applyBorder="1" applyAlignment="1">
      <alignment horizontal="left" vertical="center" wrapText="1"/>
    </xf>
    <xf numFmtId="0" fontId="60" fillId="0" borderId="0" xfId="0" applyFont="1" applyBorder="1" applyAlignment="1">
      <alignment horizontal="right" vertical="center"/>
    </xf>
    <xf numFmtId="43" fontId="121" fillId="52" borderId="0" xfId="43" applyFont="1" applyFill="1" applyBorder="1" applyAlignment="1">
      <alignment vertical="center"/>
    </xf>
    <xf numFmtId="10" fontId="122" fillId="52" borderId="0" xfId="43" applyNumberFormat="1" applyFont="1" applyFill="1" applyBorder="1" applyAlignment="1">
      <alignment vertical="center"/>
    </xf>
    <xf numFmtId="166" fontId="19" fillId="0" borderId="0" xfId="0" applyNumberFormat="1" applyFont="1" applyFill="1" applyAlignment="1">
      <alignment horizontal="center" vertical="center"/>
    </xf>
    <xf numFmtId="166" fontId="19" fillId="0" borderId="0" xfId="0" applyNumberFormat="1" applyFont="1" applyFill="1" applyAlignment="1">
      <alignment horizontal="center" vertical="center" wrapText="1"/>
    </xf>
    <xf numFmtId="166" fontId="18" fillId="0" borderId="0" xfId="0" applyNumberFormat="1" applyFont="1" applyFill="1" applyAlignment="1">
      <alignment horizontal="center" vertical="center"/>
    </xf>
    <xf numFmtId="166" fontId="18" fillId="0" borderId="0" xfId="0" applyNumberFormat="1" applyFont="1" applyAlignment="1">
      <alignment horizontal="center" vertical="center"/>
    </xf>
    <xf numFmtId="166" fontId="19" fillId="43" borderId="0" xfId="0" applyNumberFormat="1" applyFont="1" applyFill="1" applyAlignment="1">
      <alignment horizontal="center" vertical="center"/>
    </xf>
    <xf numFmtId="166" fontId="18" fillId="0" borderId="0" xfId="0" applyNumberFormat="1" applyFont="1" applyBorder="1" applyAlignment="1">
      <alignment horizontal="center" vertical="center"/>
    </xf>
    <xf numFmtId="166" fontId="19" fillId="0" borderId="0" xfId="0" applyNumberFormat="1" applyFont="1" applyAlignment="1">
      <alignment horizontal="center" vertical="center"/>
    </xf>
    <xf numFmtId="166" fontId="19" fillId="55" borderId="0" xfId="0" applyNumberFormat="1" applyFont="1" applyFill="1" applyAlignment="1">
      <alignment horizontal="center" vertical="center"/>
    </xf>
    <xf numFmtId="0" fontId="18" fillId="43" borderId="0" xfId="0" applyFont="1" applyFill="1" applyAlignment="1">
      <alignment horizontal="center" vertical="center"/>
    </xf>
    <xf numFmtId="0" fontId="18" fillId="55" borderId="0" xfId="0" applyFont="1" applyFill="1" applyAlignment="1">
      <alignment horizontal="center" vertical="center"/>
    </xf>
    <xf numFmtId="166" fontId="19" fillId="44" borderId="0" xfId="0" applyNumberFormat="1" applyFont="1" applyFill="1" applyAlignment="1">
      <alignment horizontal="center" vertical="center"/>
    </xf>
    <xf numFmtId="166" fontId="19" fillId="49" borderId="0" xfId="0" applyNumberFormat="1" applyFont="1" applyFill="1" applyAlignment="1">
      <alignment horizontal="center" vertical="center"/>
    </xf>
    <xf numFmtId="0" fontId="18" fillId="49" borderId="0" xfId="0" applyFont="1" applyFill="1" applyAlignment="1">
      <alignment horizontal="center" vertical="center"/>
    </xf>
    <xf numFmtId="166" fontId="19" fillId="50" borderId="0" xfId="0" applyNumberFormat="1" applyFont="1" applyFill="1" applyAlignment="1">
      <alignment horizontal="center" vertical="center"/>
    </xf>
    <xf numFmtId="0" fontId="18" fillId="50" borderId="0" xfId="0" applyFont="1" applyFill="1" applyAlignment="1">
      <alignment horizontal="center" vertical="center"/>
    </xf>
    <xf numFmtId="166" fontId="19" fillId="53" borderId="0" xfId="0" applyNumberFormat="1" applyFont="1" applyFill="1" applyAlignment="1">
      <alignment horizontal="center" vertical="center"/>
    </xf>
    <xf numFmtId="0" fontId="18" fillId="53" borderId="0" xfId="0" applyFont="1" applyFill="1" applyAlignment="1">
      <alignment horizontal="center" vertical="center"/>
    </xf>
    <xf numFmtId="166" fontId="19" fillId="64" borderId="0" xfId="0" applyNumberFormat="1" applyFont="1" applyFill="1" applyAlignment="1">
      <alignment horizontal="center" vertical="center"/>
    </xf>
    <xf numFmtId="0" fontId="18" fillId="64" borderId="0" xfId="0" applyFont="1" applyFill="1" applyAlignment="1">
      <alignment horizontal="center" vertical="center"/>
    </xf>
    <xf numFmtId="166" fontId="19" fillId="34" borderId="0" xfId="0" applyNumberFormat="1" applyFont="1" applyFill="1" applyAlignment="1">
      <alignment horizontal="center" vertical="center"/>
    </xf>
    <xf numFmtId="0" fontId="18" fillId="34" borderId="0" xfId="0" applyFont="1" applyFill="1" applyAlignment="1">
      <alignment horizontal="center" vertical="center"/>
    </xf>
    <xf numFmtId="166" fontId="18" fillId="0" borderId="0" xfId="0" applyNumberFormat="1" applyFont="1" applyFill="1" applyAlignment="1">
      <alignment horizontal="left" vertical="center"/>
    </xf>
    <xf numFmtId="166" fontId="19" fillId="65" borderId="0" xfId="0" applyNumberFormat="1" applyFont="1" applyFill="1" applyAlignment="1">
      <alignment horizontal="center" vertical="center"/>
    </xf>
    <xf numFmtId="0" fontId="18" fillId="65" borderId="0" xfId="0" applyFont="1" applyFill="1" applyAlignment="1">
      <alignment horizontal="center" vertical="center"/>
    </xf>
    <xf numFmtId="166" fontId="0" fillId="66" borderId="16" xfId="0" applyNumberFormat="1" applyFont="1" applyFill="1" applyBorder="1" applyAlignment="1">
      <alignment horizontal="center" vertical="center"/>
    </xf>
    <xf numFmtId="0" fontId="81" fillId="66" borderId="16" xfId="0" applyFont="1" applyFill="1" applyBorder="1" applyAlignment="1">
      <alignment horizontal="center" vertical="center" wrapText="1"/>
    </xf>
    <xf numFmtId="49" fontId="0" fillId="66" borderId="16" xfId="0" applyNumberFormat="1" applyFont="1" applyFill="1" applyBorder="1" applyAlignment="1">
      <alignment horizontal="center" vertical="center"/>
    </xf>
    <xf numFmtId="43" fontId="36" fillId="59" borderId="0" xfId="0" applyNumberFormat="1" applyFont="1" applyFill="1" applyAlignment="1">
      <alignment vertical="center"/>
    </xf>
    <xf numFmtId="43" fontId="36" fillId="43" borderId="0" xfId="43" applyFont="1" applyFill="1" applyAlignment="1">
      <alignment vertical="center"/>
    </xf>
    <xf numFmtId="43" fontId="18" fillId="55" borderId="0" xfId="43" applyFont="1" applyFill="1" applyAlignment="1">
      <alignment horizontal="center" vertical="center"/>
    </xf>
    <xf numFmtId="43" fontId="18" fillId="44" borderId="0" xfId="43" applyFont="1" applyFill="1" applyAlignment="1">
      <alignment horizontal="center" vertical="center"/>
    </xf>
    <xf numFmtId="43" fontId="18" fillId="49" borderId="0" xfId="43" applyFont="1" applyFill="1" applyAlignment="1">
      <alignment horizontal="center" vertical="center"/>
    </xf>
    <xf numFmtId="43" fontId="18" fillId="50" borderId="0" xfId="43" applyFont="1" applyFill="1" applyAlignment="1">
      <alignment horizontal="center" vertical="center"/>
    </xf>
    <xf numFmtId="43" fontId="18" fillId="53" borderId="0" xfId="43" applyFont="1" applyFill="1" applyAlignment="1">
      <alignment horizontal="center" vertical="center"/>
    </xf>
    <xf numFmtId="43" fontId="18" fillId="64" borderId="0" xfId="43" applyFont="1" applyFill="1" applyAlignment="1">
      <alignment horizontal="center" vertical="center"/>
    </xf>
    <xf numFmtId="43" fontId="18" fillId="34" borderId="0" xfId="43" applyFont="1" applyFill="1" applyAlignment="1">
      <alignment horizontal="center" vertical="center"/>
    </xf>
    <xf numFmtId="43" fontId="18" fillId="65" borderId="0" xfId="43" applyFont="1" applyFill="1" applyAlignment="1">
      <alignment horizontal="center" vertical="center"/>
    </xf>
    <xf numFmtId="10" fontId="26" fillId="0" borderId="0" xfId="45" applyNumberFormat="1" applyFont="1" applyFill="1" applyAlignment="1">
      <alignment horizontal="center" vertical="center"/>
    </xf>
    <xf numFmtId="10" fontId="18" fillId="0" borderId="0" xfId="45" applyNumberFormat="1" applyFont="1" applyFill="1" applyAlignment="1">
      <alignment horizontal="center" vertical="center"/>
    </xf>
    <xf numFmtId="10" fontId="21" fillId="35" borderId="0" xfId="45" applyNumberFormat="1" applyFont="1" applyFill="1" applyAlignment="1">
      <alignment vertical="center"/>
    </xf>
    <xf numFmtId="10" fontId="21" fillId="38" borderId="0" xfId="45" applyNumberFormat="1" applyFont="1" applyFill="1" applyAlignment="1">
      <alignment vertical="center"/>
    </xf>
    <xf numFmtId="10" fontId="18" fillId="36" borderId="0" xfId="45" applyNumberFormat="1" applyFont="1" applyFill="1" applyAlignment="1">
      <alignment vertical="center"/>
    </xf>
    <xf numFmtId="10" fontId="18" fillId="37" borderId="0" xfId="45" applyNumberFormat="1" applyFont="1" applyFill="1" applyAlignment="1">
      <alignment vertical="center"/>
    </xf>
    <xf numFmtId="10" fontId="56" fillId="35" borderId="0" xfId="45" applyNumberFormat="1" applyFont="1" applyFill="1" applyAlignment="1">
      <alignment vertical="center"/>
    </xf>
    <xf numFmtId="10" fontId="19" fillId="0" borderId="0" xfId="45" applyNumberFormat="1" applyFont="1" applyFill="1" applyBorder="1" applyAlignment="1">
      <alignment vertical="center"/>
    </xf>
    <xf numFmtId="10" fontId="18" fillId="0" borderId="0" xfId="45" applyNumberFormat="1" applyFont="1" applyBorder="1" applyAlignment="1">
      <alignment vertical="center"/>
    </xf>
    <xf numFmtId="10" fontId="21" fillId="38" borderId="0" xfId="45" applyNumberFormat="1" applyFont="1" applyFill="1" applyBorder="1" applyAlignment="1">
      <alignment vertical="center"/>
    </xf>
    <xf numFmtId="10" fontId="26" fillId="37" borderId="0" xfId="45" applyNumberFormat="1" applyFont="1" applyFill="1" applyAlignment="1">
      <alignment vertical="center"/>
    </xf>
    <xf numFmtId="10" fontId="18" fillId="0" borderId="13" xfId="45" applyNumberFormat="1" applyFont="1" applyFill="1" applyBorder="1" applyAlignment="1">
      <alignment vertical="center"/>
    </xf>
    <xf numFmtId="0" fontId="108" fillId="0" borderId="0" xfId="0" applyFont="1" applyAlignment="1">
      <alignment horizontal="center"/>
    </xf>
    <xf numFmtId="43" fontId="60" fillId="39" borderId="18" xfId="0" applyNumberFormat="1" applyFont="1" applyFill="1" applyBorder="1" applyAlignment="1">
      <alignment horizontal="center" vertical="center" wrapText="1"/>
    </xf>
    <xf numFmtId="43" fontId="60" fillId="39" borderId="31" xfId="0" applyNumberFormat="1" applyFont="1" applyFill="1" applyBorder="1" applyAlignment="1">
      <alignment horizontal="center" vertical="center" wrapText="1"/>
    </xf>
    <xf numFmtId="43" fontId="60" fillId="39" borderId="19" xfId="0" applyNumberFormat="1" applyFont="1" applyFill="1" applyBorder="1" applyAlignment="1">
      <alignment horizontal="center" vertical="center" wrapText="1"/>
    </xf>
    <xf numFmtId="49" fontId="67" fillId="39" borderId="0" xfId="0" applyNumberFormat="1" applyFont="1" applyFill="1" applyAlignment="1">
      <alignment horizontal="center" vertical="center" wrapText="1"/>
    </xf>
    <xf numFmtId="0" fontId="18" fillId="0" borderId="18" xfId="0" applyFont="1" applyBorder="1" applyAlignment="1">
      <alignment horizontal="left" vertical="center" wrapText="1"/>
    </xf>
    <xf numFmtId="0" fontId="18" fillId="0" borderId="31" xfId="0" applyFont="1" applyBorder="1" applyAlignment="1">
      <alignment horizontal="left" vertical="center" wrapText="1"/>
    </xf>
    <xf numFmtId="0" fontId="18" fillId="0" borderId="19" xfId="0" applyFont="1" applyBorder="1" applyAlignment="1">
      <alignment horizontal="left" vertical="center" wrapText="1"/>
    </xf>
    <xf numFmtId="0" fontId="42" fillId="0" borderId="18" xfId="0" applyFont="1" applyBorder="1" applyAlignment="1">
      <alignment horizontal="left" vertical="center" wrapText="1"/>
    </xf>
    <xf numFmtId="0" fontId="42" fillId="0" borderId="31" xfId="0" applyFont="1" applyBorder="1" applyAlignment="1">
      <alignment horizontal="left" vertical="center" wrapText="1"/>
    </xf>
    <xf numFmtId="0" fontId="42" fillId="0" borderId="19" xfId="0" applyFont="1" applyBorder="1" applyAlignment="1">
      <alignment horizontal="left" vertical="center" wrapText="1"/>
    </xf>
    <xf numFmtId="7" fontId="0" fillId="0" borderId="20" xfId="43" applyNumberFormat="1" applyFont="1" applyBorder="1" applyAlignment="1">
      <alignment horizontal="center" vertical="center" wrapText="1"/>
    </xf>
    <xf numFmtId="7" fontId="0" fillId="0" borderId="22" xfId="43" applyNumberFormat="1" applyFont="1" applyBorder="1" applyAlignment="1">
      <alignment horizontal="center" vertical="center" wrapText="1"/>
    </xf>
    <xf numFmtId="7" fontId="0" fillId="0" borderId="21" xfId="43" applyNumberFormat="1" applyFont="1" applyBorder="1" applyAlignment="1">
      <alignment horizontal="center" vertical="center" wrapText="1"/>
    </xf>
    <xf numFmtId="7" fontId="0" fillId="0" borderId="23" xfId="43" applyNumberFormat="1" applyFont="1" applyBorder="1" applyAlignment="1">
      <alignment horizontal="center" vertical="center" wrapText="1"/>
    </xf>
    <xf numFmtId="0" fontId="81" fillId="0" borderId="18" xfId="0" applyFont="1" applyFill="1" applyBorder="1" applyAlignment="1">
      <alignment horizontal="center" vertical="center" wrapText="1"/>
    </xf>
    <xf numFmtId="0" fontId="81" fillId="0" borderId="19" xfId="0" applyFont="1" applyFill="1" applyBorder="1" applyAlignment="1">
      <alignment horizontal="center" vertical="center" wrapText="1"/>
    </xf>
    <xf numFmtId="49" fontId="0" fillId="0" borderId="18" xfId="0" applyNumberFormat="1" applyFont="1" applyFill="1" applyBorder="1" applyAlignment="1">
      <alignment horizontal="center" vertical="center"/>
    </xf>
    <xf numFmtId="49" fontId="0" fillId="0" borderId="19" xfId="0" applyNumberFormat="1" applyFont="1" applyFill="1" applyBorder="1" applyAlignment="1">
      <alignment horizontal="center" vertical="center"/>
    </xf>
    <xf numFmtId="0" fontId="113" fillId="58" borderId="18" xfId="0" applyFont="1" applyFill="1" applyBorder="1" applyAlignment="1">
      <alignment horizontal="left" vertical="center" wrapText="1"/>
    </xf>
    <xf numFmtId="0" fontId="113" fillId="58" borderId="19" xfId="0" applyFont="1" applyFill="1" applyBorder="1" applyAlignment="1">
      <alignment horizontal="left" vertical="center" wrapText="1"/>
    </xf>
    <xf numFmtId="0" fontId="47" fillId="0" borderId="18" xfId="0" applyFont="1" applyFill="1" applyBorder="1" applyAlignment="1">
      <alignment horizontal="left" vertical="center" wrapText="1"/>
    </xf>
    <xf numFmtId="0" fontId="47" fillId="0" borderId="19" xfId="0" applyFont="1" applyFill="1" applyBorder="1" applyAlignment="1">
      <alignment horizontal="left" vertical="center" wrapText="1"/>
    </xf>
    <xf numFmtId="43" fontId="47" fillId="43" borderId="18" xfId="43" applyFont="1" applyFill="1" applyBorder="1" applyAlignment="1">
      <alignment horizontal="center" vertical="center"/>
    </xf>
    <xf numFmtId="43" fontId="47" fillId="43" borderId="19" xfId="43" applyFont="1" applyFill="1" applyBorder="1" applyAlignment="1">
      <alignment horizontal="center" vertical="center"/>
    </xf>
    <xf numFmtId="43" fontId="47" fillId="36" borderId="18" xfId="43" applyFont="1" applyFill="1" applyBorder="1" applyAlignment="1">
      <alignment horizontal="center" vertical="center"/>
    </xf>
    <xf numFmtId="43" fontId="47" fillId="36" borderId="19" xfId="43" applyFont="1" applyFill="1" applyBorder="1" applyAlignment="1">
      <alignment horizontal="center" vertical="center"/>
    </xf>
    <xf numFmtId="43" fontId="47" fillId="39" borderId="18" xfId="43" applyFont="1" applyFill="1" applyBorder="1" applyAlignment="1">
      <alignment horizontal="center" vertical="center"/>
    </xf>
    <xf numFmtId="43" fontId="47" fillId="39" borderId="19" xfId="43" applyFont="1" applyFill="1" applyBorder="1" applyAlignment="1">
      <alignment horizontal="center" vertical="center"/>
    </xf>
    <xf numFmtId="166" fontId="0" fillId="0" borderId="18" xfId="0" applyNumberFormat="1" applyFont="1" applyFill="1" applyBorder="1" applyAlignment="1">
      <alignment horizontal="center" vertical="center"/>
    </xf>
    <xf numFmtId="166" fontId="0" fillId="0" borderId="19" xfId="0" applyNumberFormat="1" applyFont="1" applyFill="1" applyBorder="1" applyAlignment="1">
      <alignment horizontal="center" vertical="center"/>
    </xf>
    <xf numFmtId="43" fontId="47" fillId="0" borderId="10" xfId="43" applyNumberFormat="1" applyFont="1" applyBorder="1" applyAlignment="1">
      <alignment horizontal="center" vertical="center"/>
    </xf>
    <xf numFmtId="0" fontId="50" fillId="41" borderId="0" xfId="0" applyFont="1" applyFill="1" applyAlignment="1">
      <alignment horizontal="center" vertical="center"/>
    </xf>
    <xf numFmtId="0" fontId="54" fillId="0" borderId="0" xfId="0" applyFont="1" applyBorder="1" applyAlignment="1">
      <alignment horizontal="left" vertical="center" wrapText="1"/>
    </xf>
    <xf numFmtId="0" fontId="54" fillId="0" borderId="10" xfId="0" applyFont="1" applyBorder="1" applyAlignment="1">
      <alignment horizontal="left" vertical="center" wrapText="1"/>
    </xf>
    <xf numFmtId="0" fontId="53" fillId="0" borderId="0" xfId="0" applyFont="1" applyAlignment="1">
      <alignment horizontal="center" vertical="center" textRotation="90" wrapText="1"/>
    </xf>
    <xf numFmtId="0" fontId="53" fillId="0" borderId="10" xfId="0" applyFont="1" applyBorder="1" applyAlignment="1">
      <alignment horizontal="center" vertical="center" textRotation="90" wrapText="1"/>
    </xf>
    <xf numFmtId="0" fontId="18" fillId="0" borderId="0" xfId="0" applyFont="1" applyAlignment="1">
      <alignment horizontal="center" vertical="center" textRotation="90" wrapText="1"/>
    </xf>
    <xf numFmtId="0" fontId="18" fillId="0" borderId="10" xfId="0" applyFont="1" applyBorder="1" applyAlignment="1">
      <alignment horizontal="center" vertical="center" textRotation="90" wrapText="1"/>
    </xf>
    <xf numFmtId="0" fontId="47" fillId="0" borderId="0" xfId="0" applyFont="1" applyAlignment="1">
      <alignment horizontal="center" vertical="center" textRotation="90" wrapText="1"/>
    </xf>
    <xf numFmtId="0" fontId="47" fillId="0" borderId="10" xfId="0" applyFont="1" applyBorder="1" applyAlignment="1">
      <alignment horizontal="center" vertical="center" textRotation="90" wrapText="1"/>
    </xf>
    <xf numFmtId="0" fontId="37" fillId="0" borderId="0" xfId="0" applyFont="1" applyAlignment="1">
      <alignment horizontal="center" vertical="center" textRotation="90" wrapText="1"/>
    </xf>
    <xf numFmtId="0" fontId="37" fillId="0" borderId="10" xfId="0" applyFont="1" applyBorder="1" applyAlignment="1">
      <alignment horizontal="center" vertical="center" textRotation="90" wrapText="1"/>
    </xf>
    <xf numFmtId="7" fontId="0" fillId="40" borderId="11" xfId="43" applyNumberFormat="1" applyFont="1" applyFill="1" applyBorder="1" applyAlignment="1">
      <alignment horizontal="center" vertical="center" wrapText="1"/>
    </xf>
    <xf numFmtId="7" fontId="0" fillId="40" borderId="10" xfId="43" applyNumberFormat="1" applyFont="1" applyFill="1" applyBorder="1" applyAlignment="1">
      <alignment horizontal="center" vertical="center" wrapText="1"/>
    </xf>
    <xf numFmtId="7" fontId="24" fillId="40" borderId="11" xfId="43" applyNumberFormat="1" applyFont="1" applyFill="1" applyBorder="1" applyAlignment="1">
      <alignment horizontal="center" vertical="center" wrapText="1"/>
    </xf>
    <xf numFmtId="7" fontId="24" fillId="40" borderId="10" xfId="43" applyNumberFormat="1" applyFont="1" applyFill="1" applyBorder="1" applyAlignment="1">
      <alignment horizontal="center" vertical="center" wrapText="1"/>
    </xf>
    <xf numFmtId="0" fontId="0" fillId="40" borderId="21" xfId="0" applyFont="1" applyFill="1" applyBorder="1" applyAlignment="1">
      <alignment horizontal="center" vertical="center"/>
    </xf>
    <xf numFmtId="0" fontId="0" fillId="40" borderId="23" xfId="0" applyFont="1" applyFill="1" applyBorder="1" applyAlignment="1">
      <alignment horizontal="center" vertical="center"/>
    </xf>
    <xf numFmtId="0" fontId="0" fillId="40" borderId="11" xfId="0" applyFont="1" applyFill="1" applyBorder="1" applyAlignment="1">
      <alignment horizontal="center" vertical="center" wrapText="1"/>
    </xf>
    <xf numFmtId="0" fontId="0" fillId="40" borderId="10" xfId="0" applyFont="1" applyFill="1" applyBorder="1" applyAlignment="1">
      <alignment horizontal="center" vertical="center" wrapText="1"/>
    </xf>
    <xf numFmtId="0" fontId="0" fillId="40" borderId="11" xfId="0" applyFont="1" applyFill="1" applyBorder="1" applyAlignment="1">
      <alignment horizontal="center" vertical="center"/>
    </xf>
    <xf numFmtId="0" fontId="0" fillId="40" borderId="10" xfId="0" applyFont="1" applyFill="1" applyBorder="1" applyAlignment="1">
      <alignment horizontal="center" vertical="center"/>
    </xf>
    <xf numFmtId="43" fontId="47" fillId="56" borderId="18" xfId="43" applyFont="1" applyFill="1" applyBorder="1" applyAlignment="1">
      <alignment horizontal="center" vertical="center"/>
    </xf>
    <xf numFmtId="43" fontId="47" fillId="56" borderId="19" xfId="43" applyFont="1" applyFill="1" applyBorder="1" applyAlignment="1">
      <alignment horizontal="center" vertical="center"/>
    </xf>
    <xf numFmtId="43" fontId="47" fillId="57" borderId="18" xfId="43" applyFont="1" applyFill="1" applyBorder="1" applyAlignment="1">
      <alignment horizontal="center" vertical="center"/>
    </xf>
    <xf numFmtId="43" fontId="47" fillId="57" borderId="19" xfId="43" applyFont="1" applyFill="1" applyBorder="1" applyAlignment="1">
      <alignment horizontal="center" vertical="center"/>
    </xf>
    <xf numFmtId="166" fontId="0" fillId="0" borderId="31" xfId="0" applyNumberFormat="1" applyFont="1" applyFill="1" applyBorder="1" applyAlignment="1">
      <alignment horizontal="center" vertical="center"/>
    </xf>
    <xf numFmtId="0" fontId="81" fillId="0" borderId="31" xfId="0" applyFont="1" applyFill="1" applyBorder="1" applyAlignment="1">
      <alignment horizontal="center" vertical="center" wrapText="1"/>
    </xf>
    <xf numFmtId="49" fontId="0" fillId="0" borderId="31" xfId="0" applyNumberFormat="1" applyFont="1" applyFill="1" applyBorder="1" applyAlignment="1">
      <alignment horizontal="center" vertical="center"/>
    </xf>
    <xf numFmtId="43" fontId="93" fillId="53" borderId="0" xfId="43" applyFont="1" applyFill="1" applyAlignment="1">
      <alignment horizontal="center" vertical="center"/>
    </xf>
    <xf numFmtId="0" fontId="96" fillId="0" borderId="0" xfId="0" applyFont="1" applyFill="1" applyAlignment="1">
      <alignment horizontal="center" vertical="center" wrapText="1"/>
    </xf>
    <xf numFmtId="0" fontId="103" fillId="0" borderId="0" xfId="0" applyFont="1" applyFill="1" applyAlignment="1">
      <alignment horizontal="center" vertical="center" wrapText="1"/>
    </xf>
    <xf numFmtId="43" fontId="21" fillId="53" borderId="18" xfId="0" applyNumberFormat="1" applyFont="1" applyFill="1" applyBorder="1" applyAlignment="1">
      <alignment horizontal="center" vertical="center" wrapText="1"/>
    </xf>
    <xf numFmtId="43" fontId="21" fillId="53" borderId="31" xfId="0" applyNumberFormat="1" applyFont="1" applyFill="1" applyBorder="1" applyAlignment="1">
      <alignment horizontal="center" vertical="center" wrapText="1"/>
    </xf>
    <xf numFmtId="43" fontId="21" fillId="53" borderId="19" xfId="0" applyNumberFormat="1" applyFont="1" applyFill="1" applyBorder="1" applyAlignment="1">
      <alignment horizontal="center" vertical="center" wrapText="1"/>
    </xf>
    <xf numFmtId="0" fontId="19" fillId="53" borderId="20" xfId="0" applyFont="1" applyFill="1" applyBorder="1" applyAlignment="1">
      <alignment horizontal="center" vertical="center" wrapText="1"/>
    </xf>
    <xf numFmtId="0" fontId="19" fillId="53" borderId="21" xfId="0" applyFont="1" applyFill="1" applyBorder="1" applyAlignment="1">
      <alignment horizontal="center" vertical="center" wrapText="1"/>
    </xf>
    <xf numFmtId="0" fontId="19" fillId="53" borderId="33" xfId="0" applyFont="1" applyFill="1" applyBorder="1" applyAlignment="1">
      <alignment horizontal="center" vertical="center" wrapText="1"/>
    </xf>
    <xf numFmtId="0" fontId="19" fillId="53" borderId="34" xfId="0" applyFont="1" applyFill="1" applyBorder="1" applyAlignment="1">
      <alignment horizontal="center" vertical="center" wrapText="1"/>
    </xf>
    <xf numFmtId="0" fontId="19" fillId="53" borderId="22" xfId="0" applyFont="1" applyFill="1" applyBorder="1" applyAlignment="1">
      <alignment horizontal="center" vertical="center" wrapText="1"/>
    </xf>
    <xf numFmtId="0" fontId="19" fillId="53" borderId="23" xfId="0" applyFont="1" applyFill="1" applyBorder="1" applyAlignment="1">
      <alignment horizontal="center" vertical="center" wrapText="1"/>
    </xf>
    <xf numFmtId="0" fontId="38" fillId="53" borderId="18" xfId="0" applyFont="1" applyFill="1" applyBorder="1" applyAlignment="1">
      <alignment horizontal="center" vertical="center" wrapText="1"/>
    </xf>
    <xf numFmtId="0" fontId="38" fillId="53" borderId="31" xfId="0" applyFont="1" applyFill="1" applyBorder="1" applyAlignment="1">
      <alignment horizontal="center" vertical="center" wrapText="1"/>
    </xf>
    <xf numFmtId="0" fontId="38" fillId="53" borderId="19" xfId="0" applyFont="1" applyFill="1" applyBorder="1" applyAlignment="1">
      <alignment horizontal="center" vertical="center" wrapText="1"/>
    </xf>
    <xf numFmtId="10" fontId="110" fillId="36" borderId="0" xfId="43" applyNumberFormat="1" applyFont="1" applyFill="1" applyBorder="1" applyAlignment="1">
      <alignment horizontal="center" vertical="center" wrapText="1"/>
    </xf>
    <xf numFmtId="10" fontId="110" fillId="36" borderId="10" xfId="43" applyNumberFormat="1" applyFont="1" applyFill="1" applyBorder="1" applyAlignment="1">
      <alignment horizontal="center" vertical="center" wrapText="1"/>
    </xf>
    <xf numFmtId="0" fontId="0" fillId="0" borderId="33" xfId="0" applyBorder="1" applyAlignment="1">
      <alignment horizontal="right" vertical="center" wrapText="1"/>
    </xf>
    <xf numFmtId="0" fontId="0" fillId="0" borderId="0" xfId="0" applyBorder="1" applyAlignment="1">
      <alignment horizontal="right" vertical="center" wrapText="1"/>
    </xf>
    <xf numFmtId="0" fontId="0" fillId="0" borderId="0" xfId="0" applyAlignment="1">
      <alignment horizontal="center"/>
    </xf>
    <xf numFmtId="0" fontId="55" fillId="0" borderId="0" xfId="0" applyFont="1" applyAlignment="1">
      <alignment horizontal="center"/>
    </xf>
    <xf numFmtId="0" fontId="0" fillId="0" borderId="0" xfId="0" applyAlignment="1">
      <alignment horizontal="left" vertical="center" wrapText="1"/>
    </xf>
    <xf numFmtId="0" fontId="35" fillId="0" borderId="0" xfId="0" applyFont="1" applyAlignment="1">
      <alignment horizontal="center" vertical="center"/>
    </xf>
    <xf numFmtId="0" fontId="33" fillId="0" borderId="0" xfId="0" applyFont="1" applyAlignment="1">
      <alignment horizontal="center"/>
    </xf>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3" builtinId="3"/>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4"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5" builtinId="5"/>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colors>
    <mruColors>
      <color rgb="FFFF66FF"/>
      <color rgb="FFFFFFCC"/>
      <color rgb="FFFFFF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32"/>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5902508162098536E-2"/>
          <c:y val="0.1266589982694552"/>
          <c:w val="0.83897176314499144"/>
          <c:h val="0.75998923695689113"/>
        </c:manualLayout>
      </c:layout>
      <c:pie3DChart>
        <c:varyColors val="1"/>
        <c:ser>
          <c:idx val="0"/>
          <c:order val="0"/>
          <c:explosion val="28"/>
          <c:dPt>
            <c:idx val="0"/>
            <c:bubble3D val="0"/>
            <c:spPr>
              <a:solidFill>
                <a:schemeClr val="accent1">
                  <a:alpha val="90000"/>
                </a:schemeClr>
              </a:solidFill>
              <a:ln w="19050">
                <a:solidFill>
                  <a:schemeClr val="accent1">
                    <a:lumMod val="75000"/>
                  </a:schemeClr>
                </a:solidFill>
              </a:ln>
              <a:effectLst>
                <a:innerShdw blurRad="114300">
                  <a:schemeClr val="accent1">
                    <a:lumMod val="75000"/>
                  </a:schemeClr>
                </a:innerShdw>
              </a:effectLst>
              <a:scene3d>
                <a:camera prst="orthographicFront"/>
                <a:lightRig rig="threePt" dir="t"/>
              </a:scene3d>
              <a:sp3d contourW="19050" prstMaterial="flat">
                <a:contourClr>
                  <a:schemeClr val="accent1">
                    <a:lumMod val="75000"/>
                  </a:schemeClr>
                </a:contourClr>
              </a:sp3d>
            </c:spPr>
            <c:extLst>
              <c:ext xmlns:c16="http://schemas.microsoft.com/office/drawing/2014/chart" uri="{C3380CC4-5D6E-409C-BE32-E72D297353CC}">
                <c16:uniqueId val="{00000006-3D5F-4894-807D-E0615A3A8EA9}"/>
              </c:ext>
            </c:extLst>
          </c:dPt>
          <c:dPt>
            <c:idx val="1"/>
            <c:bubble3D val="0"/>
            <c:spPr>
              <a:solidFill>
                <a:schemeClr val="accent2">
                  <a:alpha val="90000"/>
                </a:schemeClr>
              </a:solidFill>
              <a:ln w="19050">
                <a:solidFill>
                  <a:schemeClr val="accent2">
                    <a:lumMod val="75000"/>
                  </a:schemeClr>
                </a:solidFill>
              </a:ln>
              <a:effectLst>
                <a:innerShdw blurRad="114300">
                  <a:schemeClr val="accent2">
                    <a:lumMod val="75000"/>
                  </a:schemeClr>
                </a:innerShdw>
              </a:effectLst>
              <a:scene3d>
                <a:camera prst="orthographicFront"/>
                <a:lightRig rig="threePt" dir="t"/>
              </a:scene3d>
              <a:sp3d contourW="19050" prstMaterial="flat">
                <a:contourClr>
                  <a:schemeClr val="accent2">
                    <a:lumMod val="75000"/>
                  </a:schemeClr>
                </a:contourClr>
              </a:sp3d>
            </c:spPr>
            <c:extLst>
              <c:ext xmlns:c16="http://schemas.microsoft.com/office/drawing/2014/chart" uri="{C3380CC4-5D6E-409C-BE32-E72D297353CC}">
                <c16:uniqueId val="{00000007-3D5F-4894-807D-E0615A3A8EA9}"/>
              </c:ext>
            </c:extLst>
          </c:dPt>
          <c:dPt>
            <c:idx val="2"/>
            <c:bubble3D val="0"/>
            <c:spPr>
              <a:solidFill>
                <a:schemeClr val="accent3">
                  <a:alpha val="90000"/>
                </a:schemeClr>
              </a:solidFill>
              <a:ln w="19050">
                <a:solidFill>
                  <a:schemeClr val="accent3">
                    <a:lumMod val="75000"/>
                  </a:schemeClr>
                </a:solidFill>
              </a:ln>
              <a:effectLst>
                <a:innerShdw blurRad="114300">
                  <a:schemeClr val="accent3">
                    <a:lumMod val="75000"/>
                  </a:schemeClr>
                </a:innerShdw>
              </a:effectLst>
              <a:scene3d>
                <a:camera prst="orthographicFront"/>
                <a:lightRig rig="threePt" dir="t"/>
              </a:scene3d>
              <a:sp3d contourW="19050" prstMaterial="flat">
                <a:contourClr>
                  <a:schemeClr val="accent3">
                    <a:lumMod val="75000"/>
                  </a:schemeClr>
                </a:contourClr>
              </a:sp3d>
            </c:spPr>
            <c:extLst>
              <c:ext xmlns:c16="http://schemas.microsoft.com/office/drawing/2014/chart" uri="{C3380CC4-5D6E-409C-BE32-E72D297353CC}">
                <c16:uniqueId val="{00000008-3D5F-4894-807D-E0615A3A8EA9}"/>
              </c:ext>
            </c:extLst>
          </c:dPt>
          <c:dPt>
            <c:idx val="3"/>
            <c:bubble3D val="0"/>
            <c:spPr>
              <a:solidFill>
                <a:schemeClr val="accent4">
                  <a:alpha val="90000"/>
                </a:schemeClr>
              </a:solidFill>
              <a:ln w="19050">
                <a:solidFill>
                  <a:schemeClr val="accent4">
                    <a:lumMod val="75000"/>
                  </a:schemeClr>
                </a:solidFill>
              </a:ln>
              <a:effectLst>
                <a:innerShdw blurRad="114300">
                  <a:schemeClr val="accent4">
                    <a:lumMod val="75000"/>
                  </a:schemeClr>
                </a:innerShdw>
              </a:effectLst>
              <a:scene3d>
                <a:camera prst="orthographicFront"/>
                <a:lightRig rig="threePt" dir="t"/>
              </a:scene3d>
              <a:sp3d contourW="19050" prstMaterial="flat">
                <a:contourClr>
                  <a:schemeClr val="accent4">
                    <a:lumMod val="75000"/>
                  </a:schemeClr>
                </a:contourClr>
              </a:sp3d>
            </c:spPr>
            <c:extLst>
              <c:ext xmlns:c16="http://schemas.microsoft.com/office/drawing/2014/chart" uri="{C3380CC4-5D6E-409C-BE32-E72D297353CC}">
                <c16:uniqueId val="{00000009-3D5F-4894-807D-E0615A3A8EA9}"/>
              </c:ext>
            </c:extLst>
          </c:dPt>
          <c:dPt>
            <c:idx val="4"/>
            <c:bubble3D val="0"/>
            <c:spPr>
              <a:solidFill>
                <a:schemeClr val="accent5">
                  <a:alpha val="90000"/>
                </a:schemeClr>
              </a:solidFill>
              <a:ln w="19050">
                <a:solidFill>
                  <a:schemeClr val="accent5">
                    <a:lumMod val="75000"/>
                  </a:schemeClr>
                </a:solidFill>
              </a:ln>
              <a:effectLst>
                <a:innerShdw blurRad="114300">
                  <a:schemeClr val="accent5">
                    <a:lumMod val="75000"/>
                  </a:schemeClr>
                </a:innerShdw>
              </a:effectLst>
              <a:scene3d>
                <a:camera prst="orthographicFront"/>
                <a:lightRig rig="threePt" dir="t"/>
              </a:scene3d>
              <a:sp3d contourW="19050" prstMaterial="flat">
                <a:contourClr>
                  <a:schemeClr val="accent5">
                    <a:lumMod val="75000"/>
                  </a:schemeClr>
                </a:contourClr>
              </a:sp3d>
            </c:spPr>
            <c:extLst>
              <c:ext xmlns:c16="http://schemas.microsoft.com/office/drawing/2014/chart" uri="{C3380CC4-5D6E-409C-BE32-E72D297353CC}">
                <c16:uniqueId val="{0000000A-3D5F-4894-807D-E0615A3A8EA9}"/>
              </c:ext>
            </c:extLst>
          </c:dPt>
          <c:dPt>
            <c:idx val="5"/>
            <c:bubble3D val="0"/>
            <c:spPr>
              <a:solidFill>
                <a:schemeClr val="accent6">
                  <a:alpha val="90000"/>
                </a:schemeClr>
              </a:solidFill>
              <a:ln w="19050">
                <a:solidFill>
                  <a:schemeClr val="accent6">
                    <a:lumMod val="75000"/>
                  </a:schemeClr>
                </a:solidFill>
              </a:ln>
              <a:effectLst>
                <a:innerShdw blurRad="114300">
                  <a:schemeClr val="accent6">
                    <a:lumMod val="75000"/>
                  </a:schemeClr>
                </a:innerShdw>
              </a:effectLst>
              <a:scene3d>
                <a:camera prst="orthographicFront"/>
                <a:lightRig rig="threePt" dir="t"/>
              </a:scene3d>
              <a:sp3d contourW="19050" prstMaterial="flat">
                <a:contourClr>
                  <a:schemeClr val="accent6">
                    <a:lumMod val="75000"/>
                  </a:schemeClr>
                </a:contourClr>
              </a:sp3d>
            </c:spPr>
            <c:extLst>
              <c:ext xmlns:c16="http://schemas.microsoft.com/office/drawing/2014/chart" uri="{C3380CC4-5D6E-409C-BE32-E72D297353CC}">
                <c16:uniqueId val="{0000000B-3D5F-4894-807D-E0615A3A8EA9}"/>
              </c:ext>
            </c:extLst>
          </c:dPt>
          <c:dPt>
            <c:idx val="6"/>
            <c:bubble3D val="0"/>
            <c:spPr>
              <a:solidFill>
                <a:schemeClr val="accent1">
                  <a:lumMod val="60000"/>
                  <a:alpha val="90000"/>
                </a:schemeClr>
              </a:solidFill>
              <a:ln w="19050">
                <a:solidFill>
                  <a:schemeClr val="accent1">
                    <a:lumMod val="60000"/>
                    <a:lumMod val="75000"/>
                  </a:schemeClr>
                </a:solidFill>
              </a:ln>
              <a:effectLst>
                <a:innerShdw blurRad="114300">
                  <a:schemeClr val="accent1">
                    <a:lumMod val="60000"/>
                    <a:lumMod val="75000"/>
                  </a:schemeClr>
                </a:innerShdw>
              </a:effectLst>
              <a:scene3d>
                <a:camera prst="orthographicFront"/>
                <a:lightRig rig="threePt" dir="t"/>
              </a:scene3d>
              <a:sp3d contourW="19050" prstMaterial="flat">
                <a:contourClr>
                  <a:schemeClr val="accent1">
                    <a:lumMod val="60000"/>
                    <a:lumMod val="75000"/>
                  </a:schemeClr>
                </a:contourClr>
              </a:sp3d>
            </c:spPr>
            <c:extLst>
              <c:ext xmlns:c16="http://schemas.microsoft.com/office/drawing/2014/chart" uri="{C3380CC4-5D6E-409C-BE32-E72D297353CC}">
                <c16:uniqueId val="{0000000C-3D5F-4894-807D-E0615A3A8EA9}"/>
              </c:ext>
            </c:extLst>
          </c:dPt>
          <c:dPt>
            <c:idx val="7"/>
            <c:bubble3D val="0"/>
            <c:spPr>
              <a:solidFill>
                <a:schemeClr val="accent2">
                  <a:lumMod val="60000"/>
                  <a:alpha val="90000"/>
                </a:schemeClr>
              </a:solidFill>
              <a:ln w="19050">
                <a:solidFill>
                  <a:schemeClr val="accent2">
                    <a:lumMod val="60000"/>
                    <a:lumMod val="75000"/>
                  </a:schemeClr>
                </a:solidFill>
              </a:ln>
              <a:effectLst>
                <a:innerShdw blurRad="114300">
                  <a:schemeClr val="accent2">
                    <a:lumMod val="60000"/>
                    <a:lumMod val="75000"/>
                  </a:schemeClr>
                </a:innerShdw>
              </a:effectLst>
              <a:scene3d>
                <a:camera prst="orthographicFront"/>
                <a:lightRig rig="threePt" dir="t"/>
              </a:scene3d>
              <a:sp3d contourW="19050" prstMaterial="flat">
                <a:contourClr>
                  <a:schemeClr val="accent2">
                    <a:lumMod val="60000"/>
                    <a:lumMod val="75000"/>
                  </a:schemeClr>
                </a:contourClr>
              </a:sp3d>
            </c:spPr>
            <c:extLst>
              <c:ext xmlns:c16="http://schemas.microsoft.com/office/drawing/2014/chart" uri="{C3380CC4-5D6E-409C-BE32-E72D297353CC}">
                <c16:uniqueId val="{00000001-3D5F-4894-807D-E0615A3A8EA9}"/>
              </c:ext>
            </c:extLst>
          </c:dPt>
          <c:dPt>
            <c:idx val="8"/>
            <c:bubble3D val="0"/>
            <c:spPr>
              <a:solidFill>
                <a:schemeClr val="accent3">
                  <a:lumMod val="60000"/>
                  <a:alpha val="90000"/>
                </a:schemeClr>
              </a:solidFill>
              <a:ln w="19050">
                <a:solidFill>
                  <a:schemeClr val="accent3">
                    <a:lumMod val="60000"/>
                    <a:lumMod val="75000"/>
                  </a:schemeClr>
                </a:solidFill>
              </a:ln>
              <a:effectLst>
                <a:innerShdw blurRad="114300">
                  <a:schemeClr val="accent3">
                    <a:lumMod val="60000"/>
                    <a:lumMod val="75000"/>
                  </a:schemeClr>
                </a:innerShdw>
              </a:effectLst>
              <a:scene3d>
                <a:camera prst="orthographicFront"/>
                <a:lightRig rig="threePt" dir="t"/>
              </a:scene3d>
              <a:sp3d contourW="19050" prstMaterial="flat">
                <a:contourClr>
                  <a:schemeClr val="accent3">
                    <a:lumMod val="60000"/>
                    <a:lumMod val="75000"/>
                  </a:schemeClr>
                </a:contourClr>
              </a:sp3d>
            </c:spPr>
            <c:extLst>
              <c:ext xmlns:c16="http://schemas.microsoft.com/office/drawing/2014/chart" uri="{C3380CC4-5D6E-409C-BE32-E72D297353CC}">
                <c16:uniqueId val="{00000003-3D5F-4894-807D-E0615A3A8EA9}"/>
              </c:ext>
            </c:extLst>
          </c:dPt>
          <c:dPt>
            <c:idx val="9"/>
            <c:bubble3D val="0"/>
            <c:spPr>
              <a:solidFill>
                <a:schemeClr val="accent4">
                  <a:lumMod val="60000"/>
                  <a:alpha val="90000"/>
                </a:schemeClr>
              </a:solidFill>
              <a:ln w="19050">
                <a:solidFill>
                  <a:schemeClr val="accent4">
                    <a:lumMod val="60000"/>
                    <a:lumMod val="75000"/>
                  </a:schemeClr>
                </a:solidFill>
              </a:ln>
              <a:effectLst>
                <a:innerShdw blurRad="114300">
                  <a:schemeClr val="accent4">
                    <a:lumMod val="60000"/>
                    <a:lumMod val="75000"/>
                  </a:schemeClr>
                </a:innerShdw>
              </a:effectLst>
              <a:scene3d>
                <a:camera prst="orthographicFront"/>
                <a:lightRig rig="threePt" dir="t"/>
              </a:scene3d>
              <a:sp3d contourW="19050" prstMaterial="flat">
                <a:contourClr>
                  <a:schemeClr val="accent4">
                    <a:lumMod val="60000"/>
                    <a:lumMod val="75000"/>
                  </a:schemeClr>
                </a:contourClr>
              </a:sp3d>
            </c:spPr>
            <c:extLst>
              <c:ext xmlns:c16="http://schemas.microsoft.com/office/drawing/2014/chart" uri="{C3380CC4-5D6E-409C-BE32-E72D297353CC}">
                <c16:uniqueId val="{00000005-3D5F-4894-807D-E0615A3A8EA9}"/>
              </c:ext>
            </c:extLst>
          </c:dPt>
          <c:dPt>
            <c:idx val="10"/>
            <c:bubble3D val="0"/>
            <c:explosion val="13"/>
            <c:spPr>
              <a:solidFill>
                <a:schemeClr val="accent5">
                  <a:lumMod val="60000"/>
                  <a:alpha val="90000"/>
                </a:schemeClr>
              </a:solidFill>
              <a:ln w="19050">
                <a:solidFill>
                  <a:schemeClr val="accent5">
                    <a:lumMod val="60000"/>
                    <a:lumMod val="75000"/>
                  </a:schemeClr>
                </a:solidFill>
              </a:ln>
              <a:effectLst>
                <a:innerShdw blurRad="114300">
                  <a:schemeClr val="accent5">
                    <a:lumMod val="60000"/>
                    <a:lumMod val="75000"/>
                  </a:schemeClr>
                </a:innerShdw>
              </a:effectLst>
              <a:scene3d>
                <a:camera prst="orthographicFront"/>
                <a:lightRig rig="threePt" dir="t"/>
              </a:scene3d>
              <a:sp3d contourW="19050" prstMaterial="flat">
                <a:contourClr>
                  <a:schemeClr val="accent5">
                    <a:lumMod val="60000"/>
                    <a:lumMod val="75000"/>
                  </a:schemeClr>
                </a:contourClr>
              </a:sp3d>
            </c:spPr>
            <c:extLst>
              <c:ext xmlns:c16="http://schemas.microsoft.com/office/drawing/2014/chart" uri="{C3380CC4-5D6E-409C-BE32-E72D297353CC}">
                <c16:uniqueId val="{0000000F-3D5F-4894-807D-E0615A3A8EA9}"/>
              </c:ext>
            </c:extLst>
          </c:dPt>
          <c:dPt>
            <c:idx val="11"/>
            <c:bubble3D val="0"/>
            <c:spPr>
              <a:solidFill>
                <a:schemeClr val="accent6">
                  <a:lumMod val="60000"/>
                  <a:alpha val="90000"/>
                </a:schemeClr>
              </a:solidFill>
              <a:ln w="19050">
                <a:solidFill>
                  <a:schemeClr val="accent6">
                    <a:lumMod val="60000"/>
                    <a:lumMod val="75000"/>
                  </a:schemeClr>
                </a:solidFill>
              </a:ln>
              <a:effectLst>
                <a:innerShdw blurRad="114300">
                  <a:schemeClr val="accent6">
                    <a:lumMod val="60000"/>
                    <a:lumMod val="75000"/>
                  </a:schemeClr>
                </a:innerShdw>
              </a:effectLst>
              <a:scene3d>
                <a:camera prst="orthographicFront"/>
                <a:lightRig rig="threePt" dir="t"/>
              </a:scene3d>
              <a:sp3d contourW="19050" prstMaterial="flat">
                <a:contourClr>
                  <a:schemeClr val="accent6">
                    <a:lumMod val="60000"/>
                    <a:lumMod val="75000"/>
                  </a:schemeClr>
                </a:contourClr>
              </a:sp3d>
            </c:spPr>
            <c:extLst>
              <c:ext xmlns:c16="http://schemas.microsoft.com/office/drawing/2014/chart" uri="{C3380CC4-5D6E-409C-BE32-E72D297353CC}">
                <c16:uniqueId val="{0000000E-3D5F-4894-807D-E0615A3A8EA9}"/>
              </c:ext>
            </c:extLst>
          </c:dPt>
          <c:dLbls>
            <c:dLbl>
              <c:idx val="0"/>
              <c:spPr>
                <a:solidFill>
                  <a:schemeClr val="lt1">
                    <a:alpha val="90000"/>
                  </a:schemeClr>
                </a:solidFill>
                <a:ln w="12700" cap="flat" cmpd="sng" algn="ctr">
                  <a:solidFill>
                    <a:schemeClr val="accent1"/>
                  </a:solidFill>
                  <a:round/>
                </a:ln>
                <a:effectLst>
                  <a:outerShdw blurRad="50800" dist="38100" dir="2700000" algn="tl" rotWithShape="0">
                    <a:schemeClr val="accent1">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1"/>
                      </a:solidFill>
                      <a:effectLst/>
                      <a:latin typeface="+mn-lt"/>
                      <a:ea typeface="+mn-ea"/>
                      <a:cs typeface="+mn-cs"/>
                    </a:defRPr>
                  </a:pPr>
                  <a:endParaRPr lang="en-US"/>
                </a:p>
              </c:txPr>
              <c:dLblPos val="inEnd"/>
              <c:showLegendKey val="0"/>
              <c:showVal val="1"/>
              <c:showCatName val="1"/>
              <c:showSerName val="0"/>
              <c:showPercent val="0"/>
              <c:showBubbleSize val="0"/>
              <c:extLst>
                <c:ext xmlns:c16="http://schemas.microsoft.com/office/drawing/2014/chart" uri="{C3380CC4-5D6E-409C-BE32-E72D297353CC}">
                  <c16:uniqueId val="{00000006-3D5F-4894-807D-E0615A3A8EA9}"/>
                </c:ext>
              </c:extLst>
            </c:dLbl>
            <c:dLbl>
              <c:idx val="1"/>
              <c:spPr>
                <a:solidFill>
                  <a:schemeClr val="lt1">
                    <a:alpha val="90000"/>
                  </a:schemeClr>
                </a:solidFill>
                <a:ln w="12700" cap="flat" cmpd="sng" algn="ctr">
                  <a:solidFill>
                    <a:schemeClr val="accent2"/>
                  </a:solidFill>
                  <a:round/>
                </a:ln>
                <a:effectLst>
                  <a:outerShdw blurRad="50800" dist="38100" dir="2700000" algn="tl" rotWithShape="0">
                    <a:schemeClr val="accent2">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2"/>
                      </a:solidFill>
                      <a:effectLst/>
                      <a:latin typeface="+mn-lt"/>
                      <a:ea typeface="+mn-ea"/>
                      <a:cs typeface="+mn-cs"/>
                    </a:defRPr>
                  </a:pPr>
                  <a:endParaRPr lang="en-US"/>
                </a:p>
              </c:txPr>
              <c:dLblPos val="inEnd"/>
              <c:showLegendKey val="0"/>
              <c:showVal val="1"/>
              <c:showCatName val="1"/>
              <c:showSerName val="0"/>
              <c:showPercent val="0"/>
              <c:showBubbleSize val="0"/>
              <c:extLst>
                <c:ext xmlns:c16="http://schemas.microsoft.com/office/drawing/2014/chart" uri="{C3380CC4-5D6E-409C-BE32-E72D297353CC}">
                  <c16:uniqueId val="{00000007-3D5F-4894-807D-E0615A3A8EA9}"/>
                </c:ext>
              </c:extLst>
            </c:dLbl>
            <c:dLbl>
              <c:idx val="2"/>
              <c:spPr>
                <a:solidFill>
                  <a:schemeClr val="lt1">
                    <a:alpha val="90000"/>
                  </a:schemeClr>
                </a:solidFill>
                <a:ln w="12700" cap="flat" cmpd="sng" algn="ctr">
                  <a:solidFill>
                    <a:schemeClr val="accent3"/>
                  </a:solidFill>
                  <a:round/>
                </a:ln>
                <a:effectLst>
                  <a:outerShdw blurRad="50800" dist="38100" dir="2700000" algn="tl" rotWithShape="0">
                    <a:schemeClr val="accent3">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3"/>
                      </a:solidFill>
                      <a:effectLst/>
                      <a:latin typeface="+mn-lt"/>
                      <a:ea typeface="+mn-ea"/>
                      <a:cs typeface="+mn-cs"/>
                    </a:defRPr>
                  </a:pPr>
                  <a:endParaRPr lang="en-US"/>
                </a:p>
              </c:txPr>
              <c:dLblPos val="inEnd"/>
              <c:showLegendKey val="0"/>
              <c:showVal val="1"/>
              <c:showCatName val="1"/>
              <c:showSerName val="0"/>
              <c:showPercent val="0"/>
              <c:showBubbleSize val="0"/>
              <c:extLst>
                <c:ext xmlns:c16="http://schemas.microsoft.com/office/drawing/2014/chart" uri="{C3380CC4-5D6E-409C-BE32-E72D297353CC}">
                  <c16:uniqueId val="{00000008-3D5F-4894-807D-E0615A3A8EA9}"/>
                </c:ext>
              </c:extLst>
            </c:dLbl>
            <c:dLbl>
              <c:idx val="3"/>
              <c:layout>
                <c:manualLayout>
                  <c:x val="-0.15202242092619778"/>
                  <c:y val="-0.10677972889783958"/>
                </c:manualLayout>
              </c:layout>
              <c:spPr>
                <a:solidFill>
                  <a:schemeClr val="lt1">
                    <a:alpha val="90000"/>
                  </a:schemeClr>
                </a:solidFill>
                <a:ln w="12700" cap="flat" cmpd="sng" algn="ctr">
                  <a:solidFill>
                    <a:schemeClr val="accent4"/>
                  </a:solidFill>
                  <a:round/>
                </a:ln>
                <a:effectLst>
                  <a:outerShdw blurRad="50800" dist="38100" dir="2700000" algn="tl" rotWithShape="0">
                    <a:schemeClr val="accent4">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4"/>
                      </a:solidFill>
                      <a:effectLst/>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D5F-4894-807D-E0615A3A8EA9}"/>
                </c:ext>
              </c:extLst>
            </c:dLbl>
            <c:dLbl>
              <c:idx val="4"/>
              <c:layout>
                <c:manualLayout>
                  <c:x val="-1.0653943680768718E-3"/>
                  <c:y val="-6.874495565752764E-2"/>
                </c:manualLayout>
              </c:layout>
              <c:spPr>
                <a:solidFill>
                  <a:schemeClr val="lt1">
                    <a:alpha val="90000"/>
                  </a:schemeClr>
                </a:solidFill>
                <a:ln w="12700" cap="flat" cmpd="sng" algn="ctr">
                  <a:solidFill>
                    <a:schemeClr val="accent5"/>
                  </a:solidFill>
                  <a:round/>
                </a:ln>
                <a:effectLst>
                  <a:outerShdw blurRad="50800" dist="38100" dir="2700000" algn="tl" rotWithShape="0">
                    <a:schemeClr val="accent5">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5"/>
                      </a:solidFill>
                      <a:effectLst/>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D5F-4894-807D-E0615A3A8EA9}"/>
                </c:ext>
              </c:extLst>
            </c:dLbl>
            <c:dLbl>
              <c:idx val="5"/>
              <c:layout>
                <c:manualLayout>
                  <c:x val="-6.1595889496863739E-2"/>
                  <c:y val="-7.5643587150456867E-2"/>
                </c:manualLayout>
              </c:layout>
              <c:spPr>
                <a:solidFill>
                  <a:schemeClr val="lt1">
                    <a:alpha val="90000"/>
                  </a:schemeClr>
                </a:solidFill>
                <a:ln w="12700" cap="flat" cmpd="sng" algn="ctr">
                  <a:solidFill>
                    <a:schemeClr val="accent6"/>
                  </a:solidFill>
                  <a:round/>
                </a:ln>
                <a:effectLst>
                  <a:outerShdw blurRad="50800" dist="38100" dir="2700000" algn="tl" rotWithShape="0">
                    <a:schemeClr val="accent6">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6"/>
                      </a:solidFill>
                      <a:effectLst/>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D5F-4894-807D-E0615A3A8EA9}"/>
                </c:ext>
              </c:extLst>
            </c:dLbl>
            <c:dLbl>
              <c:idx val="6"/>
              <c:spPr>
                <a:solidFill>
                  <a:schemeClr val="lt1">
                    <a:alpha val="90000"/>
                  </a:schemeClr>
                </a:solidFill>
                <a:ln w="12700" cap="flat" cmpd="sng" algn="ctr">
                  <a:solidFill>
                    <a:schemeClr val="accent1">
                      <a:lumMod val="60000"/>
                    </a:schemeClr>
                  </a:solidFill>
                  <a:round/>
                </a:ln>
                <a:effectLst>
                  <a:outerShdw blurRad="50800" dist="38100" dir="2700000" algn="tl" rotWithShape="0">
                    <a:schemeClr val="accent1">
                      <a:lumMod val="60000"/>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1">
                          <a:lumMod val="60000"/>
                        </a:schemeClr>
                      </a:solidFill>
                      <a:effectLst/>
                      <a:latin typeface="+mn-lt"/>
                      <a:ea typeface="+mn-ea"/>
                      <a:cs typeface="+mn-cs"/>
                    </a:defRPr>
                  </a:pPr>
                  <a:endParaRPr lang="en-US"/>
                </a:p>
              </c:txPr>
              <c:dLblPos val="inEnd"/>
              <c:showLegendKey val="0"/>
              <c:showVal val="1"/>
              <c:showCatName val="1"/>
              <c:showSerName val="0"/>
              <c:showPercent val="0"/>
              <c:showBubbleSize val="0"/>
              <c:extLst>
                <c:ext xmlns:c16="http://schemas.microsoft.com/office/drawing/2014/chart" uri="{C3380CC4-5D6E-409C-BE32-E72D297353CC}">
                  <c16:uniqueId val="{0000000C-3D5F-4894-807D-E0615A3A8EA9}"/>
                </c:ext>
              </c:extLst>
            </c:dLbl>
            <c:dLbl>
              <c:idx val="7"/>
              <c:spPr>
                <a:solidFill>
                  <a:schemeClr val="lt1">
                    <a:alpha val="90000"/>
                  </a:schemeClr>
                </a:solidFill>
                <a:ln w="12700" cap="flat" cmpd="sng" algn="ctr">
                  <a:solidFill>
                    <a:schemeClr val="accent2">
                      <a:lumMod val="60000"/>
                    </a:schemeClr>
                  </a:solidFill>
                  <a:round/>
                </a:ln>
                <a:effectLst>
                  <a:outerShdw blurRad="50800" dist="38100" dir="2700000" algn="tl" rotWithShape="0">
                    <a:schemeClr val="accent2">
                      <a:lumMod val="60000"/>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2">
                          <a:lumMod val="60000"/>
                        </a:schemeClr>
                      </a:solidFill>
                      <a:effectLst/>
                      <a:latin typeface="+mn-lt"/>
                      <a:ea typeface="+mn-ea"/>
                      <a:cs typeface="+mn-cs"/>
                    </a:defRPr>
                  </a:pPr>
                  <a:endParaRPr lang="en-US"/>
                </a:p>
              </c:txPr>
              <c:dLblPos val="inEnd"/>
              <c:showLegendKey val="0"/>
              <c:showVal val="1"/>
              <c:showCatName val="1"/>
              <c:showSerName val="0"/>
              <c:showPercent val="0"/>
              <c:showBubbleSize val="0"/>
              <c:extLst>
                <c:ext xmlns:c16="http://schemas.microsoft.com/office/drawing/2014/chart" uri="{C3380CC4-5D6E-409C-BE32-E72D297353CC}">
                  <c16:uniqueId val="{00000001-3D5F-4894-807D-E0615A3A8EA9}"/>
                </c:ext>
              </c:extLst>
            </c:dLbl>
            <c:dLbl>
              <c:idx val="8"/>
              <c:layout>
                <c:manualLayout>
                  <c:x val="2.8524177424529822E-3"/>
                  <c:y val="-7.8135884094502079E-3"/>
                </c:manualLayout>
              </c:layout>
              <c:spPr>
                <a:solidFill>
                  <a:schemeClr val="lt1">
                    <a:alpha val="90000"/>
                  </a:schemeClr>
                </a:solidFill>
                <a:ln w="12700" cap="flat" cmpd="sng" algn="ctr">
                  <a:solidFill>
                    <a:schemeClr val="accent3">
                      <a:lumMod val="60000"/>
                    </a:schemeClr>
                  </a:solidFill>
                  <a:round/>
                </a:ln>
                <a:effectLst>
                  <a:outerShdw blurRad="50800" dist="38100" dir="2700000" algn="tl" rotWithShape="0">
                    <a:schemeClr val="accent3">
                      <a:lumMod val="60000"/>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3">
                          <a:lumMod val="60000"/>
                        </a:schemeClr>
                      </a:solidFill>
                      <a:effectLst/>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D5F-4894-807D-E0615A3A8EA9}"/>
                </c:ext>
              </c:extLst>
            </c:dLbl>
            <c:dLbl>
              <c:idx val="9"/>
              <c:layout>
                <c:manualLayout>
                  <c:x val="-6.7255819119788715E-2"/>
                  <c:y val="-6.4151609823892911E-2"/>
                </c:manualLayout>
              </c:layout>
              <c:spPr>
                <a:solidFill>
                  <a:schemeClr val="lt1">
                    <a:alpha val="90000"/>
                  </a:schemeClr>
                </a:solidFill>
                <a:ln w="12700" cap="flat" cmpd="sng" algn="ctr">
                  <a:solidFill>
                    <a:schemeClr val="accent4">
                      <a:lumMod val="60000"/>
                    </a:schemeClr>
                  </a:solidFill>
                  <a:round/>
                </a:ln>
                <a:effectLst>
                  <a:outerShdw blurRad="50800" dist="38100" dir="2700000" algn="tl" rotWithShape="0">
                    <a:schemeClr val="accent4">
                      <a:lumMod val="60000"/>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4">
                          <a:lumMod val="60000"/>
                        </a:schemeClr>
                      </a:solidFill>
                      <a:effectLst/>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D5F-4894-807D-E0615A3A8EA9}"/>
                </c:ext>
              </c:extLst>
            </c:dLbl>
            <c:dLbl>
              <c:idx val="10"/>
              <c:layout>
                <c:manualLayout>
                  <c:x val="0.21688455892166023"/>
                  <c:y val="-3.653914144528584E-2"/>
                </c:manualLayout>
              </c:layout>
              <c:spPr>
                <a:solidFill>
                  <a:schemeClr val="lt1">
                    <a:alpha val="90000"/>
                  </a:schemeClr>
                </a:solidFill>
                <a:ln w="12700" cap="flat" cmpd="sng" algn="ctr">
                  <a:solidFill>
                    <a:schemeClr val="accent5">
                      <a:lumMod val="60000"/>
                    </a:schemeClr>
                  </a:solidFill>
                  <a:round/>
                </a:ln>
                <a:effectLst>
                  <a:outerShdw blurRad="50800" dist="38100" dir="2700000" algn="tl" rotWithShape="0">
                    <a:schemeClr val="accent5">
                      <a:lumMod val="60000"/>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5">
                          <a:lumMod val="60000"/>
                        </a:schemeClr>
                      </a:solidFill>
                      <a:effectLst/>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D5F-4894-807D-E0615A3A8EA9}"/>
                </c:ext>
              </c:extLst>
            </c:dLbl>
            <c:dLbl>
              <c:idx val="11"/>
              <c:layout>
                <c:manualLayout>
                  <c:x val="-9.7708883568237356E-2"/>
                  <c:y val="-6.8816551460868037E-3"/>
                </c:manualLayout>
              </c:layout>
              <c:spPr>
                <a:solidFill>
                  <a:schemeClr val="lt1">
                    <a:alpha val="90000"/>
                  </a:schemeClr>
                </a:solidFill>
                <a:ln w="12700" cap="flat" cmpd="sng" algn="ctr">
                  <a:solidFill>
                    <a:schemeClr val="accent6">
                      <a:lumMod val="60000"/>
                    </a:schemeClr>
                  </a:solidFill>
                  <a:round/>
                </a:ln>
                <a:effectLst>
                  <a:outerShdw blurRad="50800" dist="38100" dir="2700000" algn="tl" rotWithShape="0">
                    <a:schemeClr val="accent6">
                      <a:lumMod val="60000"/>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6">
                          <a:lumMod val="60000"/>
                        </a:schemeClr>
                      </a:solidFill>
                      <a:effectLst/>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D5F-4894-807D-E0615A3A8EA9}"/>
                </c:ext>
              </c:extLst>
            </c:dLbl>
            <c:spPr>
              <a:solidFill>
                <a:sysClr val="window" lastClr="FFFFFF">
                  <a:alpha val="90000"/>
                </a:sysClr>
              </a:solidFill>
              <a:ln w="12700" cap="flat" cmpd="sng" algn="ctr">
                <a:solidFill>
                  <a:srgbClr val="4F81BD"/>
                </a:solidFill>
                <a:round/>
              </a:ln>
              <a:effectLst>
                <a:outerShdw blurRad="50800" dist="38100" dir="2700000" algn="tl" rotWithShape="0">
                  <a:srgbClr val="4F81BD">
                    <a:lumMod val="75000"/>
                    <a:alpha val="40000"/>
                  </a:srgbClr>
                </a:outerShdw>
              </a:effectLst>
            </c:spPr>
            <c:dLblPos val="inEnd"/>
            <c:showLegendKey val="0"/>
            <c:showVal val="1"/>
            <c:showCatName val="1"/>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'Pie Chart-Budget'!$A$5:$A$16</c:f>
              <c:strCache>
                <c:ptCount val="11"/>
                <c:pt idx="0">
                  <c:v>General Government</c:v>
                </c:pt>
                <c:pt idx="1">
                  <c:v>Public Safety</c:v>
                </c:pt>
                <c:pt idx="2">
                  <c:v>Public Works</c:v>
                </c:pt>
                <c:pt idx="3">
                  <c:v>Human Services</c:v>
                </c:pt>
                <c:pt idx="4">
                  <c:v>Culture &amp; Recreation</c:v>
                </c:pt>
                <c:pt idx="5">
                  <c:v>Debt Service</c:v>
                </c:pt>
                <c:pt idx="6">
                  <c:v>Retirement Assessment</c:v>
                </c:pt>
                <c:pt idx="7">
                  <c:v>Insurance &amp; Other Emp Benefits</c:v>
                </c:pt>
                <c:pt idx="8">
                  <c:v>Other Insurance</c:v>
                </c:pt>
                <c:pt idx="9">
                  <c:v>Other; Unclassified</c:v>
                </c:pt>
                <c:pt idx="10">
                  <c:v>Education</c:v>
                </c:pt>
              </c:strCache>
            </c:strRef>
          </c:cat>
          <c:val>
            <c:numRef>
              <c:f>'Pie Chart-Budget'!$B$5:$B$16</c:f>
              <c:numCache>
                <c:formatCode>"$"#,##0</c:formatCode>
                <c:ptCount val="12"/>
                <c:pt idx="0">
                  <c:v>1758942</c:v>
                </c:pt>
                <c:pt idx="1">
                  <c:v>3082797</c:v>
                </c:pt>
                <c:pt idx="2">
                  <c:v>1718252</c:v>
                </c:pt>
                <c:pt idx="3">
                  <c:v>299442</c:v>
                </c:pt>
                <c:pt idx="4">
                  <c:v>702767</c:v>
                </c:pt>
                <c:pt idx="5">
                  <c:v>1096864</c:v>
                </c:pt>
                <c:pt idx="6">
                  <c:v>1547146</c:v>
                </c:pt>
                <c:pt idx="7">
                  <c:v>2351187</c:v>
                </c:pt>
                <c:pt idx="8">
                  <c:v>412500</c:v>
                </c:pt>
                <c:pt idx="9">
                  <c:v>10000</c:v>
                </c:pt>
                <c:pt idx="10">
                  <c:v>18954938</c:v>
                </c:pt>
              </c:numCache>
            </c:numRef>
          </c:val>
          <c:extLst>
            <c:ext xmlns:c16="http://schemas.microsoft.com/office/drawing/2014/chart" uri="{C3380CC4-5D6E-409C-BE32-E72D297353CC}">
              <c16:uniqueId val="{0000000D-3D5F-4894-807D-E0615A3A8EA9}"/>
            </c:ext>
          </c:extLst>
        </c:ser>
        <c:dLbls>
          <c:dLblPos val="inEnd"/>
          <c:showLegendKey val="0"/>
          <c:showVal val="1"/>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25" l="0.25" r="0.25" t="0.75" header="0.3" footer="0.3"/>
    <c:pageSetup orientation="landscape"/>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32"/>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0874876153725814E-2"/>
          <c:y val="0.12311685301312297"/>
          <c:w val="0.83842495618892976"/>
          <c:h val="0.8332347244117323"/>
        </c:manualLayout>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6-C09A-4302-B8FC-9FD04B208490}"/>
              </c:ext>
            </c:extLst>
          </c:dPt>
          <c:dPt>
            <c:idx val="1"/>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C09A-4302-B8FC-9FD04B208490}"/>
              </c:ext>
            </c:extLst>
          </c:dPt>
          <c:dPt>
            <c:idx val="2"/>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8-C09A-4302-B8FC-9FD04B208490}"/>
              </c:ext>
            </c:extLst>
          </c:dPt>
          <c:dPt>
            <c:idx val="3"/>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C09A-4302-B8FC-9FD04B208490}"/>
              </c:ext>
            </c:extLst>
          </c:dPt>
          <c:dPt>
            <c:idx val="4"/>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A-C09A-4302-B8FC-9FD04B208490}"/>
              </c:ext>
            </c:extLst>
          </c:dPt>
          <c:dPt>
            <c:idx val="5"/>
            <c:bubble3D val="0"/>
            <c:spPr>
              <a:solidFill>
                <a:schemeClr val="accent5">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C09A-4302-B8FC-9FD04B208490}"/>
              </c:ext>
            </c:extLst>
          </c:dPt>
          <c:dPt>
            <c:idx val="6"/>
            <c:bubble3D val="0"/>
            <c:spPr>
              <a:solidFill>
                <a:schemeClr val="accent1">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C-C09A-4302-B8FC-9FD04B208490}"/>
              </c:ext>
            </c:extLst>
          </c:dPt>
          <c:dPt>
            <c:idx val="7"/>
            <c:bubble3D val="0"/>
            <c:spPr>
              <a:solidFill>
                <a:schemeClr val="accent3">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C09A-4302-B8FC-9FD04B208490}"/>
              </c:ext>
            </c:extLst>
          </c:dPt>
          <c:dPt>
            <c:idx val="8"/>
            <c:bubble3D val="0"/>
            <c:spPr>
              <a:solidFill>
                <a:schemeClr val="accent5">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C09A-4302-B8FC-9FD04B208490}"/>
              </c:ext>
            </c:extLst>
          </c:dPt>
          <c:dPt>
            <c:idx val="9"/>
            <c:bubble3D val="0"/>
            <c:spPr>
              <a:solidFill>
                <a:schemeClr val="accent1">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C09A-4302-B8FC-9FD04B208490}"/>
              </c:ext>
            </c:extLst>
          </c:dPt>
          <c:dLbls>
            <c:dLbl>
              <c:idx val="2"/>
              <c:layout>
                <c:manualLayout>
                  <c:x val="-0.20969160667742789"/>
                  <c:y val="5.9029430559145141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C09A-4302-B8FC-9FD04B208490}"/>
                </c:ext>
              </c:extLst>
            </c:dLbl>
            <c:dLbl>
              <c:idx val="3"/>
              <c:layout>
                <c:manualLayout>
                  <c:x val="-1.3885213839068438E-2"/>
                  <c:y val="2.6569856560375894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C09A-4302-B8FC-9FD04B208490}"/>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1"/>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'Pie Chart-School'!$A$5:$A$8</c:f>
              <c:strCache>
                <c:ptCount val="4"/>
                <c:pt idx="0">
                  <c:v>Tritown School Union</c:v>
                </c:pt>
                <c:pt idx="1">
                  <c:v>Masco </c:v>
                </c:pt>
                <c:pt idx="2">
                  <c:v>Masco Debt</c:v>
                </c:pt>
                <c:pt idx="3">
                  <c:v>Essex Tech</c:v>
                </c:pt>
              </c:strCache>
            </c:strRef>
          </c:cat>
          <c:val>
            <c:numRef>
              <c:f>'Pie Chart-School'!$B$5:$B$8</c:f>
              <c:numCache>
                <c:formatCode>"$"#,##0</c:formatCode>
                <c:ptCount val="4"/>
                <c:pt idx="0">
                  <c:v>9735523</c:v>
                </c:pt>
                <c:pt idx="1">
                  <c:v>8776844</c:v>
                </c:pt>
                <c:pt idx="2">
                  <c:v>0</c:v>
                </c:pt>
                <c:pt idx="3">
                  <c:v>442571</c:v>
                </c:pt>
              </c:numCache>
            </c:numRef>
          </c:val>
          <c:extLst>
            <c:ext xmlns:c16="http://schemas.microsoft.com/office/drawing/2014/chart" uri="{C3380CC4-5D6E-409C-BE32-E72D297353CC}">
              <c16:uniqueId val="{0000000D-C09A-4302-B8FC-9FD04B208490}"/>
            </c:ext>
          </c:extLst>
        </c:ser>
        <c:dLbls>
          <c:dLblPos val="ctr"/>
          <c:showLegendKey val="0"/>
          <c:showVal val="1"/>
          <c:showCatName val="1"/>
          <c:showSerName val="0"/>
          <c:showPercent val="0"/>
          <c:showBubbleSize val="0"/>
          <c:showLeaderLines val="1"/>
        </c:dLbls>
      </c:pie3DChart>
      <c:spPr>
        <a:noFill/>
        <a:ln>
          <a:noFill/>
        </a:ln>
        <a:effectLst/>
      </c:spPr>
    </c:plotArea>
    <c:legend>
      <c:legendPos val="r"/>
      <c:layout>
        <c:manualLayout>
          <c:xMode val="edge"/>
          <c:yMode val="edge"/>
          <c:x val="0.71395993862651541"/>
          <c:y val="0.76999830772032729"/>
          <c:w val="0.15737896740248614"/>
          <c:h val="0.17412305672047709"/>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25" l="0.25" r="0.25" t="0.75" header="0.3" footer="0.3"/>
    <c:pageSetup orientation="landscape"/>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3">
  <cs:axisTitle>
    <cs:lnRef idx="0"/>
    <cs:fillRef idx="0"/>
    <cs:effectRef idx="0"/>
    <cs:fontRef idx="minor">
      <a:schemeClr val="tx1">
        <a:lumMod val="50000"/>
        <a:lumOff val="50000"/>
      </a:schemeClr>
    </cs:fontRef>
    <cs:defRPr sz="900" kern="1200"/>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styleClr val="auto"/>
    </cs:lnRef>
    <cs:fillRef idx="0"/>
    <cs:effectRef idx="0">
      <cs:styleClr val="auto"/>
    </cs:effectRef>
    <cs:fontRef idx="minor">
      <cs:styleClr val="auto"/>
    </cs:fontRef>
    <cs:spPr>
      <a:solidFill>
        <a:schemeClr val="lt1">
          <a:alpha val="90000"/>
        </a:schemeClr>
      </a:solidFill>
      <a:ln w="12700" cap="flat" cmpd="sng" algn="ctr">
        <a:solidFill>
          <a:schemeClr val="phClr"/>
        </a:solidFill>
        <a:round/>
      </a:ln>
      <a:effectLst>
        <a:outerShdw blurRad="50800" dist="38100" dir="2700000" algn="tl" rotWithShape="0">
          <a:schemeClr val="phClr">
            <a:lumMod val="75000"/>
            <a:alpha val="40000"/>
          </a:schemeClr>
        </a:outerShdw>
      </a:effectLst>
    </cs:spPr>
    <cs:defRPr sz="1000" b="0" i="0" u="none" strike="noStrike" kern="1200" baseline="0">
      <a:effectLst/>
    </cs:defRPr>
    <cs:bodyPr rot="0" spcFirstLastPara="1" vertOverflow="clip" horzOverflow="clip" vert="horz" wrap="square" lIns="38100" tIns="19050" rIns="38100" bIns="19050" anchor="ctr" anchorCtr="1">
      <a:spAutoFit/>
    </cs:bodyPr>
  </cs:dataLabel>
  <cs:dataLabelCallout>
    <cs:lnRef idx="0">
      <cs:styleClr val="auto"/>
    </cs:lnRef>
    <cs:fillRef idx="0"/>
    <cs:effectRef idx="0">
      <cs:styleClr val="auto"/>
    </cs:effectRef>
    <cs:fontRef idx="minor">
      <cs:styleClr val="auto"/>
    </cs:fontRef>
    <cs:spPr>
      <a:solidFill>
        <a:schemeClr val="lt1">
          <a:alpha val="90000"/>
        </a:schemeClr>
      </a:solidFill>
      <a:ln w="12700" cap="flat" cmpd="sng" algn="ctr">
        <a:solidFill>
          <a:schemeClr val="phClr"/>
        </a:solidFill>
        <a:round/>
      </a:ln>
      <a:effectLst>
        <a:outerShdw blurRad="50800" dist="38100" dir="2700000" algn="tl" rotWithShape="0">
          <a:schemeClr val="phClr">
            <a:lumMod val="75000"/>
            <a:alpha val="40000"/>
          </a:schemeClr>
        </a:outerShdw>
      </a:effectLst>
    </cs:spPr>
    <cs:defRPr sz="1000" b="0" i="0" u="none" strike="noStrike" kern="1200" baseline="0">
      <a:effectLst/>
    </cs:defRPr>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styleClr val="auto"/>
    </cs:lnRef>
    <cs:fillRef idx="0">
      <cs:styleClr val="auto"/>
    </cs:fillRef>
    <cs:effectRef idx="0">
      <cs:styleClr val="auto"/>
    </cs:effectRef>
    <cs:fontRef idx="minor">
      <a:schemeClr val="tx1"/>
    </cs:fontRef>
    <cs:spPr>
      <a:solidFill>
        <a:schemeClr val="phClr">
          <a:alpha val="90000"/>
        </a:schemeClr>
      </a:solidFill>
      <a:ln w="19050">
        <a:solidFill>
          <a:schemeClr val="phClr">
            <a:lumMod val="75000"/>
          </a:schemeClr>
        </a:solidFill>
      </a:ln>
      <a:effectLst>
        <a:innerShdw blurRad="114300">
          <a:schemeClr val="phClr">
            <a:lumMod val="75000"/>
          </a:schemeClr>
        </a:innerShdw>
      </a:effectLst>
      <a:scene3d>
        <a:camera prst="orthographicFront"/>
        <a:lightRig rig="threePt" dir="t"/>
      </a:scene3d>
      <a:sp3d contourW="19050" prstMaterial="flat">
        <a:contourClr>
          <a:schemeClr val="accent4">
            <a:lumMod val="75000"/>
          </a:schemeClr>
        </a:contourClr>
      </a:sp3d>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4</xdr:col>
      <xdr:colOff>50800</xdr:colOff>
      <xdr:row>0</xdr:row>
      <xdr:rowOff>38100</xdr:rowOff>
    </xdr:from>
    <xdr:to>
      <xdr:col>15</xdr:col>
      <xdr:colOff>279400</xdr:colOff>
      <xdr:row>35</xdr:row>
      <xdr:rowOff>88900</xdr:rowOff>
    </xdr:to>
    <xdr:graphicFrame macro="">
      <xdr:nvGraphicFramePr>
        <xdr:cNvPr id="2" name="Chart 1" title="Town of Topsfield">
          <a:extLst>
            <a:ext uri="{FF2B5EF4-FFF2-40B4-BE49-F238E27FC236}">
              <a16:creationId xmlns:a16="http://schemas.microsoft.com/office/drawing/2014/main" id="{D275EF12-0E9E-4FF9-8053-577B1AB561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0.20116</cdr:x>
      <cdr:y>0.01471</cdr:y>
    </cdr:from>
    <cdr:to>
      <cdr:x>0.80133</cdr:x>
      <cdr:y>0.1514</cdr:y>
    </cdr:to>
    <cdr:sp macro="" textlink="">
      <cdr:nvSpPr>
        <cdr:cNvPr id="2" name="TextBox 1"/>
        <cdr:cNvSpPr txBox="1"/>
      </cdr:nvSpPr>
      <cdr:spPr>
        <a:xfrm xmlns:a="http://schemas.openxmlformats.org/drawingml/2006/main">
          <a:off x="1536700" y="98426"/>
          <a:ext cx="45847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0.2261</cdr:x>
      <cdr:y>0.03939</cdr:y>
    </cdr:from>
    <cdr:to>
      <cdr:x>0.76309</cdr:x>
      <cdr:y>0.13431</cdr:y>
    </cdr:to>
    <cdr:sp macro="" textlink="">
      <cdr:nvSpPr>
        <cdr:cNvPr id="3" name="TextBox 2"/>
        <cdr:cNvSpPr txBox="1"/>
      </cdr:nvSpPr>
      <cdr:spPr>
        <a:xfrm xmlns:a="http://schemas.openxmlformats.org/drawingml/2006/main">
          <a:off x="1727200" y="263526"/>
          <a:ext cx="4102100" cy="635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0.08146</cdr:x>
      <cdr:y>0.01471</cdr:y>
    </cdr:from>
    <cdr:to>
      <cdr:x>0.93599</cdr:x>
      <cdr:y>0.20645</cdr:y>
    </cdr:to>
    <cdr:sp macro="" textlink="">
      <cdr:nvSpPr>
        <cdr:cNvPr id="4" name="TextBox 3"/>
        <cdr:cNvSpPr txBox="1"/>
      </cdr:nvSpPr>
      <cdr:spPr>
        <a:xfrm xmlns:a="http://schemas.openxmlformats.org/drawingml/2006/main">
          <a:off x="622300" y="98426"/>
          <a:ext cx="6527800" cy="1282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400" b="1"/>
            <a:t>Town of Topsfield</a:t>
          </a:r>
        </a:p>
        <a:p xmlns:a="http://schemas.openxmlformats.org/drawingml/2006/main">
          <a:pPr algn="ctr"/>
          <a:r>
            <a:rPr lang="en-US" sz="2400" b="1"/>
            <a:t>Proposed</a:t>
          </a:r>
          <a:r>
            <a:rPr lang="en-US" sz="2400" b="1" baseline="0"/>
            <a:t> FY23 Budget</a:t>
          </a:r>
        </a:p>
        <a:p xmlns:a="http://schemas.openxmlformats.org/drawingml/2006/main">
          <a:pPr algn="ctr"/>
          <a:endParaRPr lang="en-US" sz="1400" i="1"/>
        </a:p>
      </cdr:txBody>
    </cdr:sp>
  </cdr:relSizeAnchor>
  <cdr:relSizeAnchor xmlns:cdr="http://schemas.openxmlformats.org/drawingml/2006/chartDrawing">
    <cdr:from>
      <cdr:x>0.69327</cdr:x>
      <cdr:y>0.94115</cdr:y>
    </cdr:from>
    <cdr:to>
      <cdr:x>0.97922</cdr:x>
      <cdr:y>0.99241</cdr:y>
    </cdr:to>
    <cdr:sp macro="" textlink="">
      <cdr:nvSpPr>
        <cdr:cNvPr id="5" name="TextBox 4"/>
        <cdr:cNvSpPr txBox="1"/>
      </cdr:nvSpPr>
      <cdr:spPr>
        <a:xfrm xmlns:a="http://schemas.openxmlformats.org/drawingml/2006/main">
          <a:off x="5295900" y="6296026"/>
          <a:ext cx="2184400" cy="342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TOTAL = $31,934,835</a:t>
          </a:r>
        </a:p>
        <a:p xmlns:a="http://schemas.openxmlformats.org/drawingml/2006/main">
          <a:endParaRPr lang="en-US" sz="1100"/>
        </a:p>
        <a:p xmlns:a="http://schemas.openxmlformats.org/drawingml/2006/main">
          <a:endParaRPr lang="en-US" sz="1100"/>
        </a:p>
        <a:p xmlns:a="http://schemas.openxmlformats.org/drawingml/2006/main">
          <a:endParaRPr lang="en-US" sz="1100"/>
        </a:p>
        <a:p xmlns:a="http://schemas.openxmlformats.org/drawingml/2006/main">
          <a:endParaRPr lang="en-US" sz="1100"/>
        </a:p>
        <a:p xmlns:a="http://schemas.openxmlformats.org/drawingml/2006/main">
          <a:endParaRPr lang="en-US" sz="1100"/>
        </a:p>
        <a:p xmlns:a="http://schemas.openxmlformats.org/drawingml/2006/main">
          <a:endParaRPr lang="en-US" sz="1100"/>
        </a:p>
        <a:p xmlns:a="http://schemas.openxmlformats.org/drawingml/2006/main">
          <a:endParaRPr lang="en-US" sz="1100"/>
        </a:p>
        <a:p xmlns:a="http://schemas.openxmlformats.org/drawingml/2006/main">
          <a:endParaRPr lang="en-US" sz="1100"/>
        </a:p>
      </cdr:txBody>
    </cdr:sp>
  </cdr:relSizeAnchor>
  <cdr:relSizeAnchor xmlns:cdr="http://schemas.openxmlformats.org/drawingml/2006/chartDrawing">
    <cdr:from>
      <cdr:x>0.14963</cdr:x>
      <cdr:y>0.54438</cdr:y>
    </cdr:from>
    <cdr:to>
      <cdr:x>0.36741</cdr:x>
      <cdr:y>0.69056</cdr:y>
    </cdr:to>
    <cdr:sp macro="" textlink="">
      <cdr:nvSpPr>
        <cdr:cNvPr id="6" name="TextBox 5"/>
        <cdr:cNvSpPr txBox="1"/>
      </cdr:nvSpPr>
      <cdr:spPr>
        <a:xfrm xmlns:a="http://schemas.openxmlformats.org/drawingml/2006/main">
          <a:off x="1143000" y="3641726"/>
          <a:ext cx="1663700" cy="977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Includes:</a:t>
          </a:r>
        </a:p>
        <a:p xmlns:a="http://schemas.openxmlformats.org/drawingml/2006/main">
          <a:r>
            <a:rPr lang="en-US" sz="1100" baseline="0"/>
            <a:t>     </a:t>
          </a:r>
          <a:r>
            <a:rPr lang="en-US" sz="1100"/>
            <a:t>TriTown</a:t>
          </a:r>
        </a:p>
        <a:p xmlns:a="http://schemas.openxmlformats.org/drawingml/2006/main">
          <a:r>
            <a:rPr lang="en-US" sz="1100" baseline="0"/>
            <a:t>     MASCO</a:t>
          </a:r>
        </a:p>
        <a:p xmlns:a="http://schemas.openxmlformats.org/drawingml/2006/main">
          <a:r>
            <a:rPr lang="en-US" sz="1100" baseline="0"/>
            <a:t>     Essex Tech</a:t>
          </a:r>
          <a:endParaRPr lang="en-US" sz="1100"/>
        </a:p>
      </cdr:txBody>
    </cdr:sp>
  </cdr:relSizeAnchor>
  <cdr:relSizeAnchor xmlns:cdr="http://schemas.openxmlformats.org/drawingml/2006/chartDrawing">
    <cdr:from>
      <cdr:x>0.20116</cdr:x>
      <cdr:y>0.01471</cdr:y>
    </cdr:from>
    <cdr:to>
      <cdr:x>0.80133</cdr:x>
      <cdr:y>0.1514</cdr:y>
    </cdr:to>
    <cdr:sp macro="" textlink="">
      <cdr:nvSpPr>
        <cdr:cNvPr id="7" name="TextBox 1"/>
        <cdr:cNvSpPr txBox="1"/>
      </cdr:nvSpPr>
      <cdr:spPr>
        <a:xfrm xmlns:a="http://schemas.openxmlformats.org/drawingml/2006/main">
          <a:off x="1536700" y="98426"/>
          <a:ext cx="45847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0.2261</cdr:x>
      <cdr:y>0.03939</cdr:y>
    </cdr:from>
    <cdr:to>
      <cdr:x>0.76309</cdr:x>
      <cdr:y>0.13431</cdr:y>
    </cdr:to>
    <cdr:sp macro="" textlink="">
      <cdr:nvSpPr>
        <cdr:cNvPr id="8" name="TextBox 2"/>
        <cdr:cNvSpPr txBox="1"/>
      </cdr:nvSpPr>
      <cdr:spPr>
        <a:xfrm xmlns:a="http://schemas.openxmlformats.org/drawingml/2006/main">
          <a:off x="1727200" y="263526"/>
          <a:ext cx="4102100" cy="635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0.08146</cdr:x>
      <cdr:y>0.01471</cdr:y>
    </cdr:from>
    <cdr:to>
      <cdr:x>0.93599</cdr:x>
      <cdr:y>0.20645</cdr:y>
    </cdr:to>
    <cdr:sp macro="" textlink="">
      <cdr:nvSpPr>
        <cdr:cNvPr id="9" name="TextBox 3"/>
        <cdr:cNvSpPr txBox="1"/>
      </cdr:nvSpPr>
      <cdr:spPr>
        <a:xfrm xmlns:a="http://schemas.openxmlformats.org/drawingml/2006/main">
          <a:off x="622300" y="98426"/>
          <a:ext cx="6527800" cy="1282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endParaRPr lang="en-US" sz="1400" i="1"/>
        </a:p>
      </cdr:txBody>
    </cdr:sp>
  </cdr:relSizeAnchor>
  <cdr:relSizeAnchor xmlns:cdr="http://schemas.openxmlformats.org/drawingml/2006/chartDrawing">
    <cdr:from>
      <cdr:x>0.69327</cdr:x>
      <cdr:y>0.94115</cdr:y>
    </cdr:from>
    <cdr:to>
      <cdr:x>0.97922</cdr:x>
      <cdr:y>0.99241</cdr:y>
    </cdr:to>
    <cdr:sp macro="" textlink="">
      <cdr:nvSpPr>
        <cdr:cNvPr id="10" name="TextBox 4"/>
        <cdr:cNvSpPr txBox="1"/>
      </cdr:nvSpPr>
      <cdr:spPr>
        <a:xfrm xmlns:a="http://schemas.openxmlformats.org/drawingml/2006/main">
          <a:off x="5295900" y="6296026"/>
          <a:ext cx="2184400" cy="342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TOTAL = $</a:t>
          </a:r>
        </a:p>
      </cdr:txBody>
    </cdr:sp>
  </cdr:relSizeAnchor>
  <cdr:relSizeAnchor xmlns:cdr="http://schemas.openxmlformats.org/drawingml/2006/chartDrawing">
    <cdr:from>
      <cdr:x>0.14963</cdr:x>
      <cdr:y>0.54438</cdr:y>
    </cdr:from>
    <cdr:to>
      <cdr:x>0.36741</cdr:x>
      <cdr:y>0.69056</cdr:y>
    </cdr:to>
    <cdr:sp macro="" textlink="">
      <cdr:nvSpPr>
        <cdr:cNvPr id="11" name="TextBox 5"/>
        <cdr:cNvSpPr txBox="1"/>
      </cdr:nvSpPr>
      <cdr:spPr>
        <a:xfrm xmlns:a="http://schemas.openxmlformats.org/drawingml/2006/main">
          <a:off x="1143000" y="3641726"/>
          <a:ext cx="1663700" cy="977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Includes:</a:t>
          </a:r>
        </a:p>
        <a:p xmlns:a="http://schemas.openxmlformats.org/drawingml/2006/main">
          <a:r>
            <a:rPr lang="en-US" sz="1100" baseline="0"/>
            <a:t>     </a:t>
          </a:r>
          <a:r>
            <a:rPr lang="en-US" sz="1100"/>
            <a:t>TriTown</a:t>
          </a:r>
        </a:p>
        <a:p xmlns:a="http://schemas.openxmlformats.org/drawingml/2006/main">
          <a:r>
            <a:rPr lang="en-US" sz="1100" baseline="0"/>
            <a:t>     MASCO</a:t>
          </a:r>
        </a:p>
        <a:p xmlns:a="http://schemas.openxmlformats.org/drawingml/2006/main">
          <a:r>
            <a:rPr lang="en-US" sz="1100" baseline="0"/>
            <a:t>     Essex Tech</a:t>
          </a:r>
          <a:endParaRPr lang="en-US" sz="1100"/>
        </a:p>
      </cdr:txBody>
    </cdr:sp>
  </cdr:relSizeAnchor>
  <cdr:relSizeAnchor xmlns:cdr="http://schemas.openxmlformats.org/drawingml/2006/chartDrawing">
    <cdr:from>
      <cdr:x>0.20116</cdr:x>
      <cdr:y>0.01471</cdr:y>
    </cdr:from>
    <cdr:to>
      <cdr:x>0.80133</cdr:x>
      <cdr:y>0.1514</cdr:y>
    </cdr:to>
    <cdr:sp macro="" textlink="">
      <cdr:nvSpPr>
        <cdr:cNvPr id="12" name="TextBox 1"/>
        <cdr:cNvSpPr txBox="1"/>
      </cdr:nvSpPr>
      <cdr:spPr>
        <a:xfrm xmlns:a="http://schemas.openxmlformats.org/drawingml/2006/main">
          <a:off x="1536700" y="98426"/>
          <a:ext cx="45847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0.2261</cdr:x>
      <cdr:y>0.03939</cdr:y>
    </cdr:from>
    <cdr:to>
      <cdr:x>0.76309</cdr:x>
      <cdr:y>0.13431</cdr:y>
    </cdr:to>
    <cdr:sp macro="" textlink="">
      <cdr:nvSpPr>
        <cdr:cNvPr id="13" name="TextBox 2"/>
        <cdr:cNvSpPr txBox="1"/>
      </cdr:nvSpPr>
      <cdr:spPr>
        <a:xfrm xmlns:a="http://schemas.openxmlformats.org/drawingml/2006/main">
          <a:off x="1727200" y="263526"/>
          <a:ext cx="4102100" cy="635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0.08146</cdr:x>
      <cdr:y>0.01471</cdr:y>
    </cdr:from>
    <cdr:to>
      <cdr:x>0.93599</cdr:x>
      <cdr:y>0.20645</cdr:y>
    </cdr:to>
    <cdr:sp macro="" textlink="">
      <cdr:nvSpPr>
        <cdr:cNvPr id="14" name="TextBox 3"/>
        <cdr:cNvSpPr txBox="1"/>
      </cdr:nvSpPr>
      <cdr:spPr>
        <a:xfrm xmlns:a="http://schemas.openxmlformats.org/drawingml/2006/main">
          <a:off x="622300" y="98426"/>
          <a:ext cx="6527800" cy="1282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400" b="1"/>
            <a:t>Town of Topsfield</a:t>
          </a:r>
        </a:p>
      </cdr:txBody>
    </cdr:sp>
  </cdr:relSizeAnchor>
  <cdr:relSizeAnchor xmlns:cdr="http://schemas.openxmlformats.org/drawingml/2006/chartDrawing">
    <cdr:from>
      <cdr:x>0.69327</cdr:x>
      <cdr:y>0.94115</cdr:y>
    </cdr:from>
    <cdr:to>
      <cdr:x>0.97922</cdr:x>
      <cdr:y>0.99241</cdr:y>
    </cdr:to>
    <cdr:sp macro="" textlink="">
      <cdr:nvSpPr>
        <cdr:cNvPr id="15" name="TextBox 4"/>
        <cdr:cNvSpPr txBox="1"/>
      </cdr:nvSpPr>
      <cdr:spPr>
        <a:xfrm xmlns:a="http://schemas.openxmlformats.org/drawingml/2006/main">
          <a:off x="5295900" y="6296026"/>
          <a:ext cx="2184400" cy="342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TOTAL = $</a:t>
          </a:r>
        </a:p>
      </cdr:txBody>
    </cdr:sp>
  </cdr:relSizeAnchor>
  <cdr:relSizeAnchor xmlns:cdr="http://schemas.openxmlformats.org/drawingml/2006/chartDrawing">
    <cdr:from>
      <cdr:x>0.14963</cdr:x>
      <cdr:y>0.54438</cdr:y>
    </cdr:from>
    <cdr:to>
      <cdr:x>0.36741</cdr:x>
      <cdr:y>0.69056</cdr:y>
    </cdr:to>
    <cdr:sp macro="" textlink="">
      <cdr:nvSpPr>
        <cdr:cNvPr id="16" name="TextBox 5"/>
        <cdr:cNvSpPr txBox="1"/>
      </cdr:nvSpPr>
      <cdr:spPr>
        <a:xfrm xmlns:a="http://schemas.openxmlformats.org/drawingml/2006/main">
          <a:off x="1143000" y="3641726"/>
          <a:ext cx="1663700" cy="977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Includes:</a:t>
          </a:r>
        </a:p>
        <a:p xmlns:a="http://schemas.openxmlformats.org/drawingml/2006/main">
          <a:r>
            <a:rPr lang="en-US" sz="1100" baseline="0"/>
            <a:t>     </a:t>
          </a:r>
          <a:r>
            <a:rPr lang="en-US" sz="1100"/>
            <a:t>TriTown</a:t>
          </a:r>
        </a:p>
        <a:p xmlns:a="http://schemas.openxmlformats.org/drawingml/2006/main">
          <a:r>
            <a:rPr lang="en-US" sz="1100" baseline="0"/>
            <a:t>     MASCO</a:t>
          </a:r>
        </a:p>
        <a:p xmlns:a="http://schemas.openxmlformats.org/drawingml/2006/main">
          <a:r>
            <a:rPr lang="en-US" sz="1100" baseline="0"/>
            <a:t>     Essex Tech</a:t>
          </a:r>
          <a:endParaRPr lang="en-US" sz="1100"/>
        </a:p>
      </cdr:txBody>
    </cdr:sp>
  </cdr:relSizeAnchor>
  <cdr:relSizeAnchor xmlns:cdr="http://schemas.openxmlformats.org/drawingml/2006/chartDrawing">
    <cdr:from>
      <cdr:x>0.20116</cdr:x>
      <cdr:y>0.01471</cdr:y>
    </cdr:from>
    <cdr:to>
      <cdr:x>0.80133</cdr:x>
      <cdr:y>0.1514</cdr:y>
    </cdr:to>
    <cdr:sp macro="" textlink="">
      <cdr:nvSpPr>
        <cdr:cNvPr id="17" name="TextBox 1"/>
        <cdr:cNvSpPr txBox="1"/>
      </cdr:nvSpPr>
      <cdr:spPr>
        <a:xfrm xmlns:a="http://schemas.openxmlformats.org/drawingml/2006/main">
          <a:off x="1536700" y="98426"/>
          <a:ext cx="45847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0.2261</cdr:x>
      <cdr:y>0.03939</cdr:y>
    </cdr:from>
    <cdr:to>
      <cdr:x>0.76309</cdr:x>
      <cdr:y>0.13431</cdr:y>
    </cdr:to>
    <cdr:sp macro="" textlink="">
      <cdr:nvSpPr>
        <cdr:cNvPr id="18" name="TextBox 2"/>
        <cdr:cNvSpPr txBox="1"/>
      </cdr:nvSpPr>
      <cdr:spPr>
        <a:xfrm xmlns:a="http://schemas.openxmlformats.org/drawingml/2006/main">
          <a:off x="1727200" y="263526"/>
          <a:ext cx="4102100" cy="635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0.08146</cdr:x>
      <cdr:y>0.01471</cdr:y>
    </cdr:from>
    <cdr:to>
      <cdr:x>0.93599</cdr:x>
      <cdr:y>0.20645</cdr:y>
    </cdr:to>
    <cdr:sp macro="" textlink="">
      <cdr:nvSpPr>
        <cdr:cNvPr id="19" name="TextBox 3"/>
        <cdr:cNvSpPr txBox="1"/>
      </cdr:nvSpPr>
      <cdr:spPr>
        <a:xfrm xmlns:a="http://schemas.openxmlformats.org/drawingml/2006/main">
          <a:off x="622300" y="98426"/>
          <a:ext cx="6527800" cy="1282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400" b="1"/>
            <a:t>Town of Topsfield</a:t>
          </a:r>
        </a:p>
      </cdr:txBody>
    </cdr:sp>
  </cdr:relSizeAnchor>
  <cdr:relSizeAnchor xmlns:cdr="http://schemas.openxmlformats.org/drawingml/2006/chartDrawing">
    <cdr:from>
      <cdr:x>0.69327</cdr:x>
      <cdr:y>0.94115</cdr:y>
    </cdr:from>
    <cdr:to>
      <cdr:x>0.97922</cdr:x>
      <cdr:y>0.99241</cdr:y>
    </cdr:to>
    <cdr:sp macro="" textlink="">
      <cdr:nvSpPr>
        <cdr:cNvPr id="20" name="TextBox 4"/>
        <cdr:cNvSpPr txBox="1"/>
      </cdr:nvSpPr>
      <cdr:spPr>
        <a:xfrm xmlns:a="http://schemas.openxmlformats.org/drawingml/2006/main">
          <a:off x="5295900" y="6296026"/>
          <a:ext cx="2184400" cy="342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TOTAL = $</a:t>
          </a:r>
        </a:p>
      </cdr:txBody>
    </cdr:sp>
  </cdr:relSizeAnchor>
  <cdr:relSizeAnchor xmlns:cdr="http://schemas.openxmlformats.org/drawingml/2006/chartDrawing">
    <cdr:from>
      <cdr:x>0.14963</cdr:x>
      <cdr:y>0.54438</cdr:y>
    </cdr:from>
    <cdr:to>
      <cdr:x>0.29154</cdr:x>
      <cdr:y>0.65436</cdr:y>
    </cdr:to>
    <cdr:sp macro="" textlink="">
      <cdr:nvSpPr>
        <cdr:cNvPr id="21" name="TextBox 5"/>
        <cdr:cNvSpPr txBox="1"/>
      </cdr:nvSpPr>
      <cdr:spPr>
        <a:xfrm xmlns:a="http://schemas.openxmlformats.org/drawingml/2006/main">
          <a:off x="1212392" y="4540524"/>
          <a:ext cx="1149808" cy="9173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solidFill>
                <a:schemeClr val="bg1"/>
              </a:solidFill>
            </a:rPr>
            <a:t>Includes</a:t>
          </a:r>
          <a:r>
            <a:rPr lang="en-US" sz="1100"/>
            <a:t>:</a:t>
          </a:r>
        </a:p>
        <a:p xmlns:a="http://schemas.openxmlformats.org/drawingml/2006/main">
          <a:r>
            <a:rPr lang="en-US" sz="1100" baseline="0"/>
            <a:t>     </a:t>
          </a:r>
          <a:r>
            <a:rPr lang="en-US" sz="1100">
              <a:solidFill>
                <a:schemeClr val="bg1"/>
              </a:solidFill>
            </a:rPr>
            <a:t>TriTown</a:t>
          </a:r>
        </a:p>
        <a:p xmlns:a="http://schemas.openxmlformats.org/drawingml/2006/main">
          <a:r>
            <a:rPr lang="en-US" sz="1100" baseline="0"/>
            <a:t> </a:t>
          </a:r>
          <a:r>
            <a:rPr lang="en-US" sz="1100" baseline="0">
              <a:solidFill>
                <a:schemeClr val="bg1"/>
              </a:solidFill>
            </a:rPr>
            <a:t>  </a:t>
          </a:r>
          <a:r>
            <a:rPr lang="en-US" sz="1100" baseline="0"/>
            <a:t>  </a:t>
          </a:r>
          <a:r>
            <a:rPr lang="en-US" sz="1100" baseline="0">
              <a:solidFill>
                <a:schemeClr val="bg1"/>
              </a:solidFill>
            </a:rPr>
            <a:t>MASCO</a:t>
          </a:r>
        </a:p>
        <a:p xmlns:a="http://schemas.openxmlformats.org/drawingml/2006/main">
          <a:r>
            <a:rPr lang="en-US" sz="1100" baseline="0"/>
            <a:t>     </a:t>
          </a:r>
          <a:r>
            <a:rPr lang="en-US" sz="1100" baseline="0">
              <a:solidFill>
                <a:schemeClr val="bg1"/>
              </a:solidFill>
            </a:rPr>
            <a:t>Essex</a:t>
          </a:r>
          <a:r>
            <a:rPr lang="en-US" sz="1100" baseline="0"/>
            <a:t> </a:t>
          </a:r>
          <a:r>
            <a:rPr lang="en-US" sz="1100" baseline="0">
              <a:solidFill>
                <a:schemeClr val="bg1"/>
              </a:solidFill>
            </a:rPr>
            <a:t>Tech</a:t>
          </a:r>
          <a:endParaRPr lang="en-US" sz="1100">
            <a:solidFill>
              <a:schemeClr val="bg1"/>
            </a:solidFill>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76200</xdr:colOff>
      <xdr:row>0</xdr:row>
      <xdr:rowOff>168274</xdr:rowOff>
    </xdr:from>
    <xdr:to>
      <xdr:col>13</xdr:col>
      <xdr:colOff>520700</xdr:colOff>
      <xdr:row>34</xdr:row>
      <xdr:rowOff>50800</xdr:rowOff>
    </xdr:to>
    <xdr:graphicFrame macro="">
      <xdr:nvGraphicFramePr>
        <xdr:cNvPr id="2" name="Chart 1" title="Town of Topsfield">
          <a:extLst>
            <a:ext uri="{FF2B5EF4-FFF2-40B4-BE49-F238E27FC236}">
              <a16:creationId xmlns:a16="http://schemas.microsoft.com/office/drawing/2014/main" id="{513B122E-7006-4B4A-A8FC-001BC43923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0.20116</cdr:x>
      <cdr:y>0.01471</cdr:y>
    </cdr:from>
    <cdr:to>
      <cdr:x>0.80133</cdr:x>
      <cdr:y>0.1514</cdr:y>
    </cdr:to>
    <cdr:sp macro="" textlink="">
      <cdr:nvSpPr>
        <cdr:cNvPr id="2" name="TextBox 1"/>
        <cdr:cNvSpPr txBox="1"/>
      </cdr:nvSpPr>
      <cdr:spPr>
        <a:xfrm xmlns:a="http://schemas.openxmlformats.org/drawingml/2006/main">
          <a:off x="1536700" y="98426"/>
          <a:ext cx="45847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0.2261</cdr:x>
      <cdr:y>0.03939</cdr:y>
    </cdr:from>
    <cdr:to>
      <cdr:x>0.76309</cdr:x>
      <cdr:y>0.13431</cdr:y>
    </cdr:to>
    <cdr:sp macro="" textlink="">
      <cdr:nvSpPr>
        <cdr:cNvPr id="3" name="TextBox 2"/>
        <cdr:cNvSpPr txBox="1"/>
      </cdr:nvSpPr>
      <cdr:spPr>
        <a:xfrm xmlns:a="http://schemas.openxmlformats.org/drawingml/2006/main">
          <a:off x="1727200" y="263526"/>
          <a:ext cx="4102100" cy="635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0.08146</cdr:x>
      <cdr:y>0.01471</cdr:y>
    </cdr:from>
    <cdr:to>
      <cdr:x>0.93599</cdr:x>
      <cdr:y>0.20645</cdr:y>
    </cdr:to>
    <cdr:sp macro="" textlink="">
      <cdr:nvSpPr>
        <cdr:cNvPr id="4" name="TextBox 3"/>
        <cdr:cNvSpPr txBox="1"/>
      </cdr:nvSpPr>
      <cdr:spPr>
        <a:xfrm xmlns:a="http://schemas.openxmlformats.org/drawingml/2006/main">
          <a:off x="622300" y="98426"/>
          <a:ext cx="6527800" cy="1282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400" b="1"/>
            <a:t>Town of Topsfield</a:t>
          </a:r>
        </a:p>
        <a:p xmlns:a="http://schemas.openxmlformats.org/drawingml/2006/main">
          <a:pPr algn="ctr"/>
          <a:r>
            <a:rPr lang="en-US" sz="2400" b="1"/>
            <a:t>Proposed</a:t>
          </a:r>
          <a:r>
            <a:rPr lang="en-US" sz="2400" b="1" baseline="0"/>
            <a:t> FY23 Budget</a:t>
          </a:r>
        </a:p>
        <a:p xmlns:a="http://schemas.openxmlformats.org/drawingml/2006/main">
          <a:pPr algn="ctr"/>
          <a:r>
            <a:rPr lang="en-US" sz="1400" i="1" baseline="0"/>
            <a:t>EDUCATION</a:t>
          </a:r>
          <a:endParaRPr lang="en-US" sz="1400" i="1"/>
        </a:p>
      </cdr:txBody>
    </cdr:sp>
  </cdr:relSizeAnchor>
  <cdr:relSizeAnchor xmlns:cdr="http://schemas.openxmlformats.org/drawingml/2006/chartDrawing">
    <cdr:from>
      <cdr:x>0.71191</cdr:x>
      <cdr:y>0.95709</cdr:y>
    </cdr:from>
    <cdr:to>
      <cdr:x>0.99786</cdr:x>
      <cdr:y>0.99805</cdr:y>
    </cdr:to>
    <cdr:sp macro="" textlink="">
      <cdr:nvSpPr>
        <cdr:cNvPr id="5" name="TextBox 4"/>
        <cdr:cNvSpPr txBox="1"/>
      </cdr:nvSpPr>
      <cdr:spPr>
        <a:xfrm xmlns:a="http://schemas.openxmlformats.org/drawingml/2006/main">
          <a:off x="4222259" y="6232526"/>
          <a:ext cx="1695941"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TOTAL = $18,954,938</a:t>
          </a:r>
        </a:p>
        <a:p xmlns:a="http://schemas.openxmlformats.org/drawingml/2006/main">
          <a:endParaRPr lang="en-US" sz="1100"/>
        </a:p>
      </cdr:txBody>
    </cdr:sp>
  </cdr:relSizeAnchor>
  <cdr:relSizeAnchor xmlns:cdr="http://schemas.openxmlformats.org/drawingml/2006/chartDrawing">
    <cdr:from>
      <cdr:x>0.14963</cdr:x>
      <cdr:y>0.54438</cdr:y>
    </cdr:from>
    <cdr:to>
      <cdr:x>0.36741</cdr:x>
      <cdr:y>0.69056</cdr:y>
    </cdr:to>
    <cdr:sp macro="" textlink="">
      <cdr:nvSpPr>
        <cdr:cNvPr id="6" name="TextBox 5"/>
        <cdr:cNvSpPr txBox="1"/>
      </cdr:nvSpPr>
      <cdr:spPr>
        <a:xfrm xmlns:a="http://schemas.openxmlformats.org/drawingml/2006/main">
          <a:off x="1143000" y="3641726"/>
          <a:ext cx="1663700" cy="977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0.20116</cdr:x>
      <cdr:y>0.01471</cdr:y>
    </cdr:from>
    <cdr:to>
      <cdr:x>0.80133</cdr:x>
      <cdr:y>0.1514</cdr:y>
    </cdr:to>
    <cdr:sp macro="" textlink="">
      <cdr:nvSpPr>
        <cdr:cNvPr id="7" name="TextBox 1"/>
        <cdr:cNvSpPr txBox="1"/>
      </cdr:nvSpPr>
      <cdr:spPr>
        <a:xfrm xmlns:a="http://schemas.openxmlformats.org/drawingml/2006/main">
          <a:off x="1536700" y="98426"/>
          <a:ext cx="45847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0.2261</cdr:x>
      <cdr:y>0.03939</cdr:y>
    </cdr:from>
    <cdr:to>
      <cdr:x>0.76309</cdr:x>
      <cdr:y>0.13431</cdr:y>
    </cdr:to>
    <cdr:sp macro="" textlink="">
      <cdr:nvSpPr>
        <cdr:cNvPr id="8" name="TextBox 2"/>
        <cdr:cNvSpPr txBox="1"/>
      </cdr:nvSpPr>
      <cdr:spPr>
        <a:xfrm xmlns:a="http://schemas.openxmlformats.org/drawingml/2006/main">
          <a:off x="1727200" y="263526"/>
          <a:ext cx="4102100" cy="635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0.08146</cdr:x>
      <cdr:y>0.01471</cdr:y>
    </cdr:from>
    <cdr:to>
      <cdr:x>0.93599</cdr:x>
      <cdr:y>0.20645</cdr:y>
    </cdr:to>
    <cdr:sp macro="" textlink="">
      <cdr:nvSpPr>
        <cdr:cNvPr id="9" name="TextBox 3"/>
        <cdr:cNvSpPr txBox="1"/>
      </cdr:nvSpPr>
      <cdr:spPr>
        <a:xfrm xmlns:a="http://schemas.openxmlformats.org/drawingml/2006/main">
          <a:off x="622300" y="98426"/>
          <a:ext cx="6527800" cy="1282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endParaRPr lang="en-US" sz="1400" i="1"/>
        </a:p>
      </cdr:txBody>
    </cdr:sp>
  </cdr:relSizeAnchor>
  <cdr:relSizeAnchor xmlns:cdr="http://schemas.openxmlformats.org/drawingml/2006/chartDrawing">
    <cdr:from>
      <cdr:x>0.14963</cdr:x>
      <cdr:y>0.54438</cdr:y>
    </cdr:from>
    <cdr:to>
      <cdr:x>0.36741</cdr:x>
      <cdr:y>0.69056</cdr:y>
    </cdr:to>
    <cdr:sp macro="" textlink="">
      <cdr:nvSpPr>
        <cdr:cNvPr id="11" name="TextBox 5"/>
        <cdr:cNvSpPr txBox="1"/>
      </cdr:nvSpPr>
      <cdr:spPr>
        <a:xfrm xmlns:a="http://schemas.openxmlformats.org/drawingml/2006/main">
          <a:off x="1143000" y="3641726"/>
          <a:ext cx="1663700" cy="977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0.20116</cdr:x>
      <cdr:y>0.01471</cdr:y>
    </cdr:from>
    <cdr:to>
      <cdr:x>0.80133</cdr:x>
      <cdr:y>0.1514</cdr:y>
    </cdr:to>
    <cdr:sp macro="" textlink="">
      <cdr:nvSpPr>
        <cdr:cNvPr id="12" name="TextBox 1"/>
        <cdr:cNvSpPr txBox="1"/>
      </cdr:nvSpPr>
      <cdr:spPr>
        <a:xfrm xmlns:a="http://schemas.openxmlformats.org/drawingml/2006/main">
          <a:off x="1536700" y="98426"/>
          <a:ext cx="45847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0.2261</cdr:x>
      <cdr:y>0.03939</cdr:y>
    </cdr:from>
    <cdr:to>
      <cdr:x>0.76309</cdr:x>
      <cdr:y>0.13431</cdr:y>
    </cdr:to>
    <cdr:sp macro="" textlink="">
      <cdr:nvSpPr>
        <cdr:cNvPr id="13" name="TextBox 2"/>
        <cdr:cNvSpPr txBox="1"/>
      </cdr:nvSpPr>
      <cdr:spPr>
        <a:xfrm xmlns:a="http://schemas.openxmlformats.org/drawingml/2006/main">
          <a:off x="1727200" y="263526"/>
          <a:ext cx="4102100" cy="635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0.08146</cdr:x>
      <cdr:y>0.01471</cdr:y>
    </cdr:from>
    <cdr:to>
      <cdr:x>0.93599</cdr:x>
      <cdr:y>0.20645</cdr:y>
    </cdr:to>
    <cdr:sp macro="" textlink="">
      <cdr:nvSpPr>
        <cdr:cNvPr id="14" name="TextBox 3"/>
        <cdr:cNvSpPr txBox="1"/>
      </cdr:nvSpPr>
      <cdr:spPr>
        <a:xfrm xmlns:a="http://schemas.openxmlformats.org/drawingml/2006/main">
          <a:off x="622300" y="98426"/>
          <a:ext cx="6527800" cy="1282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400" b="1"/>
            <a:t>Town of Topsfield</a:t>
          </a:r>
        </a:p>
      </cdr:txBody>
    </cdr:sp>
  </cdr:relSizeAnchor>
  <cdr:relSizeAnchor xmlns:cdr="http://schemas.openxmlformats.org/drawingml/2006/chartDrawing">
    <cdr:from>
      <cdr:x>0.71405</cdr:x>
      <cdr:y>0.94874</cdr:y>
    </cdr:from>
    <cdr:to>
      <cdr:x>1</cdr:x>
      <cdr:y>1</cdr:y>
    </cdr:to>
    <cdr:sp macro="" textlink="">
      <cdr:nvSpPr>
        <cdr:cNvPr id="15" name="TextBox 4"/>
        <cdr:cNvSpPr txBox="1"/>
      </cdr:nvSpPr>
      <cdr:spPr>
        <a:xfrm xmlns:a="http://schemas.openxmlformats.org/drawingml/2006/main">
          <a:off x="4234959" y="6178125"/>
          <a:ext cx="1695941" cy="3338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0.14963</cdr:x>
      <cdr:y>0.54438</cdr:y>
    </cdr:from>
    <cdr:to>
      <cdr:x>0.36741</cdr:x>
      <cdr:y>0.69056</cdr:y>
    </cdr:to>
    <cdr:sp macro="" textlink="">
      <cdr:nvSpPr>
        <cdr:cNvPr id="16" name="TextBox 5"/>
        <cdr:cNvSpPr txBox="1"/>
      </cdr:nvSpPr>
      <cdr:spPr>
        <a:xfrm xmlns:a="http://schemas.openxmlformats.org/drawingml/2006/main">
          <a:off x="1143000" y="3641726"/>
          <a:ext cx="1663700" cy="977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0.20116</cdr:x>
      <cdr:y>0.01471</cdr:y>
    </cdr:from>
    <cdr:to>
      <cdr:x>0.80133</cdr:x>
      <cdr:y>0.1514</cdr:y>
    </cdr:to>
    <cdr:sp macro="" textlink="">
      <cdr:nvSpPr>
        <cdr:cNvPr id="17" name="TextBox 1"/>
        <cdr:cNvSpPr txBox="1"/>
      </cdr:nvSpPr>
      <cdr:spPr>
        <a:xfrm xmlns:a="http://schemas.openxmlformats.org/drawingml/2006/main">
          <a:off x="1536700" y="98426"/>
          <a:ext cx="45847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0.2261</cdr:x>
      <cdr:y>0.03939</cdr:y>
    </cdr:from>
    <cdr:to>
      <cdr:x>0.76309</cdr:x>
      <cdr:y>0.13431</cdr:y>
    </cdr:to>
    <cdr:sp macro="" textlink="">
      <cdr:nvSpPr>
        <cdr:cNvPr id="18" name="TextBox 2"/>
        <cdr:cNvSpPr txBox="1"/>
      </cdr:nvSpPr>
      <cdr:spPr>
        <a:xfrm xmlns:a="http://schemas.openxmlformats.org/drawingml/2006/main">
          <a:off x="1727200" y="263526"/>
          <a:ext cx="4102100" cy="635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0.08146</cdr:x>
      <cdr:y>0.01471</cdr:y>
    </cdr:from>
    <cdr:to>
      <cdr:x>0.93599</cdr:x>
      <cdr:y>0.20645</cdr:y>
    </cdr:to>
    <cdr:sp macro="" textlink="">
      <cdr:nvSpPr>
        <cdr:cNvPr id="19" name="TextBox 3"/>
        <cdr:cNvSpPr txBox="1"/>
      </cdr:nvSpPr>
      <cdr:spPr>
        <a:xfrm xmlns:a="http://schemas.openxmlformats.org/drawingml/2006/main">
          <a:off x="622300" y="98426"/>
          <a:ext cx="6527800" cy="1282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400" b="1"/>
            <a:t>Town of Topsfield</a:t>
          </a:r>
        </a:p>
      </cdr:txBody>
    </cdr:sp>
  </cdr:relSizeAnchor>
  <cdr:relSizeAnchor xmlns:cdr="http://schemas.openxmlformats.org/drawingml/2006/chartDrawing">
    <cdr:from>
      <cdr:x>0.71405</cdr:x>
      <cdr:y>0.94874</cdr:y>
    </cdr:from>
    <cdr:to>
      <cdr:x>1</cdr:x>
      <cdr:y>1</cdr:y>
    </cdr:to>
    <cdr:sp macro="" textlink="">
      <cdr:nvSpPr>
        <cdr:cNvPr id="20" name="TextBox 4"/>
        <cdr:cNvSpPr txBox="1"/>
      </cdr:nvSpPr>
      <cdr:spPr>
        <a:xfrm xmlns:a="http://schemas.openxmlformats.org/drawingml/2006/main">
          <a:off x="4234959" y="6178125"/>
          <a:ext cx="1695941" cy="3338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1"/>
  </sheetPr>
  <dimension ref="A1:D47"/>
  <sheetViews>
    <sheetView workbookViewId="0">
      <selection activeCell="F11" sqref="F11"/>
    </sheetView>
  </sheetViews>
  <sheetFormatPr defaultRowHeight="14.4" x14ac:dyDescent="0.3"/>
  <cols>
    <col min="1" max="1" width="16.88671875" style="285" customWidth="1"/>
    <col min="2" max="2" width="36" style="836" bestFit="1" customWidth="1"/>
    <col min="3" max="3" width="5.33203125" style="91" customWidth="1"/>
    <col min="4" max="4" width="7.109375" style="832" customWidth="1"/>
  </cols>
  <sheetData>
    <row r="1" spans="1:4" x14ac:dyDescent="0.3">
      <c r="B1" s="286" t="s">
        <v>879</v>
      </c>
      <c r="C1" s="933" t="s">
        <v>880</v>
      </c>
      <c r="D1" s="933"/>
    </row>
    <row r="2" spans="1:4" x14ac:dyDescent="0.3">
      <c r="B2" s="833" t="s">
        <v>134</v>
      </c>
      <c r="C2" s="837" t="s">
        <v>1544</v>
      </c>
      <c r="D2" s="838">
        <v>69</v>
      </c>
    </row>
    <row r="3" spans="1:4" x14ac:dyDescent="0.3">
      <c r="B3" s="834" t="s">
        <v>171</v>
      </c>
      <c r="C3" s="837" t="s">
        <v>1544</v>
      </c>
      <c r="D3" s="838">
        <v>452</v>
      </c>
    </row>
    <row r="4" spans="1:4" x14ac:dyDescent="0.3">
      <c r="B4" s="834" t="s">
        <v>176</v>
      </c>
      <c r="C4" s="837" t="s">
        <v>1544</v>
      </c>
      <c r="D4" s="838">
        <v>461</v>
      </c>
    </row>
    <row r="5" spans="1:4" x14ac:dyDescent="0.3">
      <c r="B5" s="833" t="s">
        <v>135</v>
      </c>
      <c r="C5" s="837" t="s">
        <v>1544</v>
      </c>
      <c r="D5" s="838">
        <v>89</v>
      </c>
    </row>
    <row r="6" spans="1:4" x14ac:dyDescent="0.3">
      <c r="B6" s="833" t="s">
        <v>192</v>
      </c>
      <c r="C6" s="837" t="s">
        <v>1544</v>
      </c>
      <c r="D6" s="838">
        <v>681</v>
      </c>
    </row>
    <row r="7" spans="1:4" x14ac:dyDescent="0.3">
      <c r="B7" s="833" t="s">
        <v>127</v>
      </c>
      <c r="C7" s="837" t="s">
        <v>1544</v>
      </c>
      <c r="D7" s="838">
        <v>241</v>
      </c>
    </row>
    <row r="8" spans="1:4" x14ac:dyDescent="0.3">
      <c r="B8" s="833" t="s">
        <v>199</v>
      </c>
      <c r="C8" s="837" t="s">
        <v>1544</v>
      </c>
      <c r="D8" s="838">
        <v>710</v>
      </c>
    </row>
    <row r="9" spans="1:4" x14ac:dyDescent="0.3">
      <c r="B9" s="835" t="s">
        <v>347</v>
      </c>
      <c r="C9" s="837" t="s">
        <v>1544</v>
      </c>
      <c r="D9" s="838">
        <v>840</v>
      </c>
    </row>
    <row r="10" spans="1:4" x14ac:dyDescent="0.3">
      <c r="B10" s="833" t="s">
        <v>160</v>
      </c>
      <c r="C10" s="837" t="s">
        <v>1544</v>
      </c>
      <c r="D10" s="838">
        <v>494</v>
      </c>
    </row>
    <row r="11" spans="1:4" x14ac:dyDescent="0.3">
      <c r="B11" s="833" t="s">
        <v>276</v>
      </c>
      <c r="C11" s="837" t="s">
        <v>1544</v>
      </c>
      <c r="D11" s="838">
        <v>907</v>
      </c>
    </row>
    <row r="12" spans="1:4" x14ac:dyDescent="0.3">
      <c r="B12" s="834" t="s">
        <v>496</v>
      </c>
      <c r="C12" s="837" t="s">
        <v>1544</v>
      </c>
      <c r="D12" s="838">
        <v>54</v>
      </c>
    </row>
    <row r="13" spans="1:4" x14ac:dyDescent="0.3">
      <c r="B13" s="834" t="s">
        <v>159</v>
      </c>
      <c r="C13" s="837" t="s">
        <v>1544</v>
      </c>
      <c r="D13" s="838">
        <v>355</v>
      </c>
    </row>
    <row r="14" spans="1:4" x14ac:dyDescent="0.3">
      <c r="B14" s="833" t="s">
        <v>182</v>
      </c>
      <c r="C14" s="837" t="s">
        <v>1544</v>
      </c>
      <c r="D14" s="838">
        <v>520</v>
      </c>
    </row>
    <row r="15" spans="1:4" x14ac:dyDescent="0.3">
      <c r="B15" s="833" t="s">
        <v>278</v>
      </c>
      <c r="C15" s="837" t="s">
        <v>1544</v>
      </c>
      <c r="D15" s="838">
        <v>808</v>
      </c>
    </row>
    <row r="16" spans="1:4" x14ac:dyDescent="0.3">
      <c r="B16" s="833" t="s">
        <v>703</v>
      </c>
      <c r="C16" s="837" t="s">
        <v>1544</v>
      </c>
      <c r="D16" s="838">
        <v>829</v>
      </c>
    </row>
    <row r="17" spans="2:4" x14ac:dyDescent="0.3">
      <c r="B17" s="833" t="s">
        <v>174</v>
      </c>
      <c r="C17" s="837" t="s">
        <v>1544</v>
      </c>
      <c r="D17" s="838">
        <v>417</v>
      </c>
    </row>
    <row r="18" spans="2:4" x14ac:dyDescent="0.3">
      <c r="B18" s="833" t="s">
        <v>696</v>
      </c>
      <c r="C18" s="837" t="s">
        <v>1544</v>
      </c>
      <c r="D18" s="838">
        <v>669</v>
      </c>
    </row>
    <row r="19" spans="2:4" x14ac:dyDescent="0.3">
      <c r="B19" s="833" t="s">
        <v>218</v>
      </c>
      <c r="C19" s="837" t="s">
        <v>1544</v>
      </c>
      <c r="D19" s="838">
        <v>756</v>
      </c>
    </row>
    <row r="20" spans="2:4" x14ac:dyDescent="0.3">
      <c r="B20" s="833" t="s">
        <v>262</v>
      </c>
      <c r="C20" s="837" t="s">
        <v>1544</v>
      </c>
      <c r="D20" s="838">
        <v>868</v>
      </c>
    </row>
    <row r="21" spans="2:4" x14ac:dyDescent="0.3">
      <c r="B21" s="833" t="s">
        <v>365</v>
      </c>
      <c r="C21" s="837" t="s">
        <v>1544</v>
      </c>
      <c r="D21" s="838">
        <v>815</v>
      </c>
    </row>
    <row r="22" spans="2:4" x14ac:dyDescent="0.3">
      <c r="B22" s="834" t="s">
        <v>1</v>
      </c>
      <c r="C22" s="837" t="s">
        <v>1544</v>
      </c>
      <c r="D22" s="838">
        <v>5</v>
      </c>
    </row>
    <row r="23" spans="2:4" x14ac:dyDescent="0.3">
      <c r="B23" s="833" t="s">
        <v>222</v>
      </c>
      <c r="C23" s="837" t="s">
        <v>1544</v>
      </c>
      <c r="D23" s="838">
        <v>620</v>
      </c>
    </row>
    <row r="24" spans="2:4" x14ac:dyDescent="0.3">
      <c r="B24" s="833" t="s">
        <v>591</v>
      </c>
      <c r="C24" s="837" t="s">
        <v>1544</v>
      </c>
      <c r="D24" s="838">
        <v>186</v>
      </c>
    </row>
    <row r="25" spans="2:4" x14ac:dyDescent="0.3">
      <c r="B25" s="833" t="s">
        <v>124</v>
      </c>
      <c r="C25" s="837" t="s">
        <v>1544</v>
      </c>
      <c r="D25" s="838">
        <v>254</v>
      </c>
    </row>
    <row r="26" spans="2:4" x14ac:dyDescent="0.3">
      <c r="B26" s="833" t="s">
        <v>158</v>
      </c>
      <c r="C26" s="837" t="s">
        <v>1544</v>
      </c>
      <c r="D26" s="838">
        <v>283</v>
      </c>
    </row>
    <row r="27" spans="2:4" s="285" customFormat="1" x14ac:dyDescent="0.3">
      <c r="B27" s="833" t="s">
        <v>1212</v>
      </c>
      <c r="C27" s="837" t="s">
        <v>1544</v>
      </c>
      <c r="D27" s="838">
        <v>795</v>
      </c>
    </row>
    <row r="28" spans="2:4" x14ac:dyDescent="0.3">
      <c r="B28" s="833" t="s">
        <v>510</v>
      </c>
      <c r="C28" s="837" t="s">
        <v>1544</v>
      </c>
      <c r="D28" s="838">
        <v>613</v>
      </c>
    </row>
    <row r="29" spans="2:4" x14ac:dyDescent="0.3">
      <c r="B29" s="833" t="s">
        <v>509</v>
      </c>
      <c r="C29" s="837" t="s">
        <v>1544</v>
      </c>
      <c r="D29" s="838">
        <v>606</v>
      </c>
    </row>
    <row r="30" spans="2:4" x14ac:dyDescent="0.3">
      <c r="B30" s="833" t="s">
        <v>167</v>
      </c>
      <c r="C30" s="837" t="s">
        <v>1544</v>
      </c>
      <c r="D30" s="838">
        <v>446</v>
      </c>
    </row>
    <row r="31" spans="2:4" x14ac:dyDescent="0.3">
      <c r="B31" s="833" t="s">
        <v>1182</v>
      </c>
      <c r="C31" s="837" t="s">
        <v>1544</v>
      </c>
      <c r="D31" s="838">
        <v>11</v>
      </c>
    </row>
    <row r="32" spans="2:4" x14ac:dyDescent="0.3">
      <c r="B32" s="833" t="s">
        <v>1187</v>
      </c>
      <c r="C32" s="837" t="s">
        <v>1544</v>
      </c>
      <c r="D32" s="838">
        <v>43</v>
      </c>
    </row>
    <row r="33" spans="2:4" x14ac:dyDescent="0.3">
      <c r="B33" s="833" t="s">
        <v>185</v>
      </c>
      <c r="C33" s="837" t="s">
        <v>1544</v>
      </c>
      <c r="D33" s="838">
        <v>583</v>
      </c>
    </row>
    <row r="34" spans="2:4" x14ac:dyDescent="0.3">
      <c r="B34" s="833" t="s">
        <v>215</v>
      </c>
      <c r="C34" s="837" t="s">
        <v>1544</v>
      </c>
      <c r="D34" s="838">
        <v>746</v>
      </c>
    </row>
    <row r="35" spans="2:4" x14ac:dyDescent="0.3">
      <c r="B35" s="833" t="s">
        <v>616</v>
      </c>
      <c r="C35" s="837" t="s">
        <v>1544</v>
      </c>
      <c r="D35" s="838">
        <v>511</v>
      </c>
    </row>
    <row r="36" spans="2:4" x14ac:dyDescent="0.3">
      <c r="B36" s="833" t="s">
        <v>189</v>
      </c>
      <c r="C36" s="837" t="s">
        <v>1544</v>
      </c>
      <c r="D36" s="838">
        <v>600</v>
      </c>
    </row>
    <row r="37" spans="2:4" x14ac:dyDescent="0.3">
      <c r="B37" s="833" t="s">
        <v>156</v>
      </c>
      <c r="C37" s="837" t="s">
        <v>1544</v>
      </c>
      <c r="D37" s="838">
        <v>201</v>
      </c>
    </row>
    <row r="38" spans="2:4" x14ac:dyDescent="0.3">
      <c r="B38" s="833" t="s">
        <v>282</v>
      </c>
      <c r="C38" s="837" t="s">
        <v>1544</v>
      </c>
      <c r="D38" s="838">
        <v>146</v>
      </c>
    </row>
    <row r="39" spans="2:4" x14ac:dyDescent="0.3">
      <c r="B39" s="833" t="s">
        <v>286</v>
      </c>
      <c r="C39" s="837" t="s">
        <v>1544</v>
      </c>
      <c r="D39" s="838">
        <v>180</v>
      </c>
    </row>
    <row r="40" spans="2:4" x14ac:dyDescent="0.3">
      <c r="B40" s="833" t="s">
        <v>141</v>
      </c>
      <c r="C40" s="837" t="s">
        <v>1544</v>
      </c>
      <c r="D40" s="838">
        <v>117</v>
      </c>
    </row>
    <row r="41" spans="2:4" x14ac:dyDescent="0.3">
      <c r="B41" s="833" t="s">
        <v>223</v>
      </c>
      <c r="C41" s="837" t="s">
        <v>1544</v>
      </c>
      <c r="D41" s="838">
        <v>472</v>
      </c>
    </row>
    <row r="42" spans="2:4" x14ac:dyDescent="0.3">
      <c r="B42" s="833" t="s">
        <v>501</v>
      </c>
      <c r="C42" s="837" t="s">
        <v>1544</v>
      </c>
      <c r="D42" s="838">
        <v>235</v>
      </c>
    </row>
    <row r="43" spans="2:4" s="285" customFormat="1" x14ac:dyDescent="0.3">
      <c r="B43" s="834" t="s">
        <v>1247</v>
      </c>
      <c r="C43" s="837" t="s">
        <v>1544</v>
      </c>
      <c r="D43" s="838">
        <v>881</v>
      </c>
    </row>
    <row r="44" spans="2:4" x14ac:dyDescent="0.3">
      <c r="B44" s="833" t="s">
        <v>272</v>
      </c>
      <c r="C44" s="837" t="s">
        <v>1544</v>
      </c>
      <c r="D44" s="838">
        <v>887</v>
      </c>
    </row>
    <row r="45" spans="2:4" x14ac:dyDescent="0.3">
      <c r="B45" s="833" t="s">
        <v>273</v>
      </c>
      <c r="C45" s="837" t="s">
        <v>1544</v>
      </c>
      <c r="D45" s="838">
        <v>898</v>
      </c>
    </row>
    <row r="46" spans="2:4" x14ac:dyDescent="0.3">
      <c r="B46" s="833" t="s">
        <v>213</v>
      </c>
      <c r="C46" s="837" t="s">
        <v>1544</v>
      </c>
      <c r="D46" s="838">
        <v>734</v>
      </c>
    </row>
    <row r="47" spans="2:4" x14ac:dyDescent="0.3">
      <c r="B47" s="833" t="s">
        <v>121</v>
      </c>
      <c r="C47" s="837" t="s">
        <v>1544</v>
      </c>
      <c r="D47" s="838">
        <v>270</v>
      </c>
    </row>
  </sheetData>
  <mergeCells count="1">
    <mergeCell ref="C1:D1"/>
  </mergeCells>
  <hyperlinks>
    <hyperlink ref="B31" location="'BUDGET DETAIL'!A11" display="SELECT BOARD DEPARTMENT" xr:uid="{00000000-0004-0000-0300-000001000000}"/>
    <hyperlink ref="B32" location="'BUDGET DETAIL'!A43" display="SELECT BOARD SPECIAL" xr:uid="{00000000-0004-0000-0300-000002000000}"/>
    <hyperlink ref="B2" location="'BUDGET DETAIL'!A69" display="ACCOUNTING DEPARTMENT" xr:uid="{00000000-0004-0000-0300-000004000000}"/>
    <hyperlink ref="B5" location="'BUDGET DETAIL'!A89" display="ASSESSOR'S DEPARTMENT" xr:uid="{00000000-0004-0000-0300-000005000000}"/>
    <hyperlink ref="B40" location="'BUDGET DETAIL'!A117" display="TREASURER / COLLECTOR DEPARTMENT" xr:uid="{00000000-0004-0000-0300-000006000000}"/>
    <hyperlink ref="B38" location="'BUDGET DETAIL'!A146" display="TOWN HALL EXPENSE" xr:uid="{00000000-0004-0000-0300-000007000000}"/>
    <hyperlink ref="B39" location="'BUDGET DETAIL'!A180" display="TOWN OWNED BUILDINGS" xr:uid="{00000000-0004-0000-0300-000008000000}"/>
    <hyperlink ref="B24" location="'BUDGET DETAIL'!A186" display="PEG/CABLE ADVISORY" xr:uid="{00000000-0004-0000-0300-000009000000}"/>
    <hyperlink ref="B37" location="'BUDGET DETAIL'!A201" display="TOWN CLERK DEPARTMENT" xr:uid="{00000000-0004-0000-0300-00000A000000}"/>
    <hyperlink ref="B42" location="'BUDGET DETAIL'!A235" display="TRUST FUND CLERK" xr:uid="{00000000-0004-0000-0300-00000B000000}"/>
    <hyperlink ref="B7" location="'BUDGET DETAIL'!A241" display="CONSERVATION COMMISSION" xr:uid="{00000000-0004-0000-0300-00000C000000}"/>
    <hyperlink ref="B25" location="'BUDGET DETAIL'!A254" display="PLANNING BOARD" xr:uid="{00000000-0004-0000-0300-00000D000000}"/>
    <hyperlink ref="B47" location="'BUDGET DETAIL'!A270" display="ZONING BOARD" xr:uid="{00000000-0004-0000-0300-00000E000000}"/>
    <hyperlink ref="B26" location="'BUDGET DETAIL'!A283" display="POLICE DEPARTMENT" xr:uid="{00000000-0004-0000-0300-00000F000000}"/>
    <hyperlink ref="B17" location="'BUDGET DETAIL'!A417" display="INSPECTIONS DEPARTMENT" xr:uid="{00000000-0004-0000-0300-000011000000}"/>
    <hyperlink ref="B30" location="'BUDGET DETAIL'!A446" display="SEALER OF WEIGHTS &amp; MEASURES" xr:uid="{00000000-0004-0000-0300-000012000000}"/>
    <hyperlink ref="B41" location="'BUDGET DETAIL'!A472" display="TREE WARDEN" xr:uid="{00000000-0004-0000-0300-000015000000}"/>
    <hyperlink ref="B10" location="'BUDGET DETAIL'!A494" display="EDUCATION" xr:uid="{00000000-0004-0000-0300-000016000000}"/>
    <hyperlink ref="B35" location="'BUDGET DETAIL'!A511" display="STORMWATER MANAGEMENT" xr:uid="{00000000-0004-0000-0300-000017000000}"/>
    <hyperlink ref="B14" location="'BUDGET DETAIL'!A520" display="HIGHWAY DEPARTMENT" xr:uid="{00000000-0004-0000-0300-000018000000}"/>
    <hyperlink ref="B33" location="'BUDGET DETAIL'!A583" display="SNOW &amp; ICE" xr:uid="{00000000-0004-0000-0300-000019000000}"/>
    <hyperlink ref="B36" location="'BUDGET DETAIL'!A600" display="STREET LIGHTS" xr:uid="{00000000-0004-0000-0300-00001A000000}"/>
    <hyperlink ref="B29" location="'BUDGET DETAIL'!A606" display="REFUSE EXPENSE" xr:uid="{00000000-0004-0000-0300-00001B000000}"/>
    <hyperlink ref="B28" location="'BUDGET DETAIL'!A613" display="RECYCLING  EXPENSE" xr:uid="{00000000-0004-0000-0300-00001C000000}"/>
    <hyperlink ref="B23" location="'BUDGET DETAIL'!A620" display="PARKS &amp; CEMETERIES" xr:uid="{00000000-0004-0000-0300-00001D000000}"/>
    <hyperlink ref="B18" location="'BUDGET DETAIL'!A669" display="LANDFILL  " xr:uid="{00000000-0004-0000-0300-00001E000000}"/>
    <hyperlink ref="B6" location="'BUDGET DETAIL'!A681" display="BOARD OF HEALTH" xr:uid="{00000000-0004-0000-0300-00001F000000}"/>
    <hyperlink ref="B8" location="'BUDGET DETAIL'!A710" display="COUNCIL ON AGING" xr:uid="{00000000-0004-0000-0300-000020000000}"/>
    <hyperlink ref="B46" location="'BUDGET DETAIL'!A734" display="VETERAN'S SERVICES" xr:uid="{00000000-0004-0000-0300-000021000000}"/>
    <hyperlink ref="B34" location="'BUDGET DETAIL'!A746" display="SOLDIER &amp; GRAVES" xr:uid="{00000000-0004-0000-0300-000022000000}"/>
    <hyperlink ref="B19" location="'BUDGET DETAIL'!A756" display="LIBRARY DEPARTMENT" xr:uid="{00000000-0004-0000-0300-000024000000}"/>
    <hyperlink ref="B15" location="'BUDGET DETAIL'!A808" display="HISTORICAL COMMISSION" xr:uid="{00000000-0004-0000-0300-000025000000}"/>
    <hyperlink ref="B21" location="'BUDGET DETAIL'!A815" display="MEMORIAL / VETERAN'S DAY" xr:uid="{00000000-0004-0000-0300-000026000000}"/>
    <hyperlink ref="B16" location="'BUDGET DETAIL'!A829" display="HOLIDAY ON THE GREEN CELEBRATION" xr:uid="{00000000-0004-0000-0300-000027000000}"/>
    <hyperlink ref="B9" location="'BUDGET DETAIL'!A840" display="DEBT SERVICE" xr:uid="{00000000-0004-0000-0300-000028000000}"/>
    <hyperlink ref="B20" location="'BUDGET DETAIL'!A868" display="LOCAL AID ASSESSMENTS" xr:uid="{00000000-0004-0000-0300-000029000000}"/>
    <hyperlink ref="B44" location="'BUDGET DETAIL'!A887" display="UNCLASSIFED / EMPLOYEE BENEFITS" xr:uid="{00000000-0004-0000-0300-00002A000000}"/>
    <hyperlink ref="B45" location="'BUDGET DETAIL'!A898" display="UNCLASSIFED / INSURANCE" xr:uid="{00000000-0004-0000-0300-00002B000000}"/>
    <hyperlink ref="B11" location="'BUDGET DETAIL'!A907" display="EMPLOYEE COMPENSATION" xr:uid="{00000000-0004-0000-0300-00002C000000}"/>
    <hyperlink ref="B27" location="'BUDGET DETAIL'!A795" display="RECREATION DEPARTMENT" xr:uid="{B042F5BA-0ABF-491F-A128-D5C21565EB45}"/>
    <hyperlink ref="B3" location="'BUDGET DETAIL'!A452" display="ANIMAL CONTROL OFFICER" xr:uid="{C3FA8369-0A9F-4EB6-8718-890B7ABB456B}"/>
    <hyperlink ref="B4" location="'BUDGET DETAIL'!A461" display="ANIMAL INSPECTOR" xr:uid="{160AD31A-E97A-4341-89C0-1AADBD3E4B45}"/>
    <hyperlink ref="B13" location="'BUDGET DETAIL'!A355" display="FIRE DEPARTMENT" xr:uid="{B796A616-0FE9-450C-A27F-529A8DA56ADB}"/>
    <hyperlink ref="B43" location="'BUDGET DETAIL'!A881" display="UNCLASSIFED / RETIREMENT" xr:uid="{45A01284-47D6-4CAE-A478-626595329C51}"/>
    <hyperlink ref="B22" location="'BUDGET DETAIL'!A5" display="MODERATOR" xr:uid="{61191F85-BD96-4362-AA46-7B18559A675B}"/>
    <hyperlink ref="B12" location="'BUDGET DETAIL'!A54" display="FINANCE COMMITTEE" xr:uid="{756C2EB9-30B3-4E27-A8C6-197BC2A5DE6F}"/>
  </hyperlinks>
  <pageMargins left="0.7" right="0.7" top="0.75" bottom="0.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6B4B6-980F-440B-92DC-0F683F04F955}">
  <sheetPr>
    <tabColor rgb="FFFFFF00"/>
  </sheetPr>
  <dimension ref="A1:CQ981"/>
  <sheetViews>
    <sheetView tabSelected="1" zoomScaleNormal="100" workbookViewId="0">
      <pane xSplit="7" ySplit="3" topLeftCell="BX4" activePane="bottomRight" state="frozen"/>
      <selection pane="topRight" activeCell="H1" sqref="H1"/>
      <selection pane="bottomLeft" activeCell="A4" sqref="A4"/>
      <selection pane="bottomRight" activeCell="D3" sqref="D3"/>
    </sheetView>
  </sheetViews>
  <sheetFormatPr defaultColWidth="9.109375" defaultRowHeight="13.8" outlineLevelCol="1" x14ac:dyDescent="0.3"/>
  <cols>
    <col min="1" max="1" width="5.6640625" style="11" customWidth="1"/>
    <col min="2" max="2" width="1.6640625" style="3" customWidth="1"/>
    <col min="3" max="4" width="6.33203125" style="37" customWidth="1"/>
    <col min="5" max="5" width="6.5546875" style="49" customWidth="1"/>
    <col min="6" max="6" width="1.6640625" style="3" customWidth="1"/>
    <col min="7" max="7" width="34.6640625" style="3" customWidth="1"/>
    <col min="8" max="10" width="14.6640625" style="16" hidden="1" customWidth="1" outlineLevel="1"/>
    <col min="11" max="11" width="8.6640625" style="122" hidden="1" customWidth="1" outlineLevel="1"/>
    <col min="12" max="12" width="1.6640625" style="3" hidden="1" customWidth="1" outlineLevel="1"/>
    <col min="13" max="14" width="14.6640625" style="16" hidden="1" customWidth="1" outlineLevel="1"/>
    <col min="15" max="15" width="1.6640625" style="3" hidden="1" customWidth="1" outlineLevel="1"/>
    <col min="16" max="16" width="44.44140625" style="135" hidden="1" customWidth="1" outlineLevel="1"/>
    <col min="17" max="17" width="1.6640625" style="3" hidden="1" customWidth="1" outlineLevel="1"/>
    <col min="18" max="18" width="14.6640625" style="16" hidden="1" customWidth="1" collapsed="1"/>
    <col min="19" max="19" width="14.6640625" style="16" customWidth="1"/>
    <col min="20" max="20" width="1.6640625" style="3" customWidth="1"/>
    <col min="21" max="23" width="14.6640625" style="16" hidden="1" customWidth="1" outlineLevel="1"/>
    <col min="24" max="24" width="8.6640625" style="122" hidden="1" customWidth="1" outlineLevel="1"/>
    <col min="25" max="25" width="1.6640625" style="3" hidden="1" customWidth="1" outlineLevel="1"/>
    <col min="26" max="27" width="14.6640625" style="16" hidden="1" customWidth="1" outlineLevel="1"/>
    <col min="28" max="28" width="1.6640625" style="3" hidden="1" customWidth="1" outlineLevel="1"/>
    <col min="29" max="29" width="44.44140625" style="135" hidden="1" customWidth="1" outlineLevel="1"/>
    <col min="30" max="30" width="1.6640625" style="3" hidden="1" customWidth="1" outlineLevel="1"/>
    <col min="31" max="31" width="14.6640625" style="16" hidden="1" customWidth="1" collapsed="1"/>
    <col min="32" max="32" width="14.6640625" style="197" customWidth="1"/>
    <col min="33" max="33" width="1.6640625" style="3" customWidth="1"/>
    <col min="34" max="36" width="14.6640625" style="16" hidden="1" customWidth="1" outlineLevel="1"/>
    <col min="37" max="37" width="8.6640625" style="122" hidden="1" customWidth="1" outlineLevel="1"/>
    <col min="38" max="38" width="1.6640625" style="3" hidden="1" customWidth="1" outlineLevel="1"/>
    <col min="39" max="40" width="14.6640625" style="16" hidden="1" customWidth="1" outlineLevel="1"/>
    <col min="41" max="41" width="1.6640625" style="3" hidden="1" customWidth="1" outlineLevel="1"/>
    <col min="42" max="42" width="44.44140625" style="135" hidden="1" customWidth="1" outlineLevel="1"/>
    <col min="43" max="43" width="1.6640625" style="3" hidden="1" customWidth="1" outlineLevel="1"/>
    <col min="44" max="44" width="14.6640625" style="16" hidden="1" customWidth="1" collapsed="1"/>
    <col min="45" max="45" width="14.6640625" style="197" customWidth="1"/>
    <col min="46" max="46" width="1.6640625" style="3" customWidth="1"/>
    <col min="47" max="49" width="14.6640625" style="16" hidden="1" customWidth="1" outlineLevel="1"/>
    <col min="50" max="50" width="7.88671875" style="122" hidden="1" customWidth="1" outlineLevel="1"/>
    <col min="51" max="51" width="1.6640625" style="3" hidden="1" customWidth="1" outlineLevel="1"/>
    <col min="52" max="53" width="14.109375" style="16" hidden="1" customWidth="1" outlineLevel="1"/>
    <col min="54" max="54" width="1.6640625" style="3" hidden="1" customWidth="1" outlineLevel="1"/>
    <col min="55" max="55" width="44" style="135" hidden="1" customWidth="1" outlineLevel="1"/>
    <col min="56" max="56" width="1.6640625" style="3" hidden="1" customWidth="1" outlineLevel="1"/>
    <col min="57" max="57" width="14.44140625" style="16" hidden="1" customWidth="1" collapsed="1"/>
    <col min="58" max="58" width="13.5546875" style="16" customWidth="1"/>
    <col min="59" max="59" width="1.6640625" style="1" customWidth="1"/>
    <col min="60" max="60" width="14.6640625" style="16" hidden="1" customWidth="1" outlineLevel="1"/>
    <col min="61" max="61" width="14.44140625" style="16" hidden="1" customWidth="1" outlineLevel="1"/>
    <col min="62" max="62" width="14.6640625" style="16" hidden="1" customWidth="1" outlineLevel="1"/>
    <col min="63" max="63" width="7.88671875" style="122" hidden="1" customWidth="1" outlineLevel="1"/>
    <col min="64" max="64" width="1.6640625" style="3" hidden="1" customWidth="1" outlineLevel="1"/>
    <col min="65" max="65" width="14.109375" style="16" hidden="1" customWidth="1" outlineLevel="1"/>
    <col min="66" max="66" width="13.5546875" style="16" hidden="1" customWidth="1" outlineLevel="1"/>
    <col min="67" max="67" width="1.6640625" style="3" hidden="1" customWidth="1" outlineLevel="1"/>
    <col min="68" max="68" width="44" style="135" hidden="1" customWidth="1" outlineLevel="1"/>
    <col min="69" max="69" width="1.6640625" style="3" hidden="1" customWidth="1" outlineLevel="1"/>
    <col min="70" max="70" width="14.44140625" style="16" customWidth="1" collapsed="1"/>
    <col min="71" max="71" width="12.109375" style="16" customWidth="1"/>
    <col min="72" max="72" width="1.6640625" style="1" customWidth="1"/>
    <col min="73" max="73" width="14.6640625" style="16" customWidth="1"/>
    <col min="74" max="74" width="14.44140625" style="16" customWidth="1"/>
    <col min="75" max="75" width="14.6640625" style="576" customWidth="1"/>
    <col min="76" max="76" width="7.88671875" style="577" customWidth="1"/>
    <col min="77" max="77" width="1.6640625" style="339" customWidth="1"/>
    <col min="78" max="78" width="14.109375" style="576" customWidth="1"/>
    <col min="79" max="79" width="13.5546875" style="576" customWidth="1"/>
    <col min="80" max="80" width="1.6640625" style="339" customWidth="1"/>
    <col min="81" max="81" width="44" style="763" customWidth="1"/>
    <col min="82" max="82" width="1.6640625" style="339" customWidth="1"/>
    <col min="83" max="83" width="14.44140625" style="576" customWidth="1"/>
    <col min="84" max="84" width="12.109375" style="576" hidden="1" customWidth="1"/>
    <col min="85" max="85" width="1.6640625" style="1" customWidth="1"/>
    <col min="86" max="86" width="10" style="813" customWidth="1"/>
    <col min="87" max="87" width="12.44140625" style="813" bestFit="1" customWidth="1"/>
    <col min="88" max="88" width="9.6640625" style="887" bestFit="1" customWidth="1"/>
    <col min="89" max="89" width="12.44140625" style="3" bestFit="1" customWidth="1"/>
    <col min="90" max="16384" width="9.109375" style="3"/>
  </cols>
  <sheetData>
    <row r="1" spans="1:93" s="29" customFormat="1" x14ac:dyDescent="0.3">
      <c r="A1" s="306"/>
      <c r="C1" s="43"/>
      <c r="D1" s="43"/>
      <c r="E1" s="46"/>
      <c r="H1" s="229" t="s">
        <v>469</v>
      </c>
      <c r="I1" s="229" t="s">
        <v>469</v>
      </c>
      <c r="J1" s="229" t="s">
        <v>469</v>
      </c>
      <c r="K1" s="230" t="s">
        <v>469</v>
      </c>
      <c r="M1" s="229" t="s">
        <v>469</v>
      </c>
      <c r="N1" s="229" t="s">
        <v>469</v>
      </c>
      <c r="P1" s="229" t="s">
        <v>469</v>
      </c>
      <c r="Q1" s="704"/>
      <c r="R1" s="229" t="s">
        <v>469</v>
      </c>
      <c r="S1" s="229" t="s">
        <v>469</v>
      </c>
      <c r="U1" s="231" t="s">
        <v>632</v>
      </c>
      <c r="V1" s="231" t="s">
        <v>632</v>
      </c>
      <c r="W1" s="231" t="s">
        <v>632</v>
      </c>
      <c r="X1" s="231" t="s">
        <v>632</v>
      </c>
      <c r="Y1" s="251"/>
      <c r="Z1" s="231" t="s">
        <v>632</v>
      </c>
      <c r="AA1" s="231" t="s">
        <v>632</v>
      </c>
      <c r="AB1" s="251"/>
      <c r="AC1" s="231" t="s">
        <v>632</v>
      </c>
      <c r="AD1" s="701"/>
      <c r="AE1" s="231" t="s">
        <v>632</v>
      </c>
      <c r="AF1" s="270" t="s">
        <v>632</v>
      </c>
      <c r="AH1" s="236" t="s">
        <v>766</v>
      </c>
      <c r="AI1" s="190" t="s">
        <v>766</v>
      </c>
      <c r="AJ1" s="236" t="s">
        <v>766</v>
      </c>
      <c r="AK1" s="236" t="s">
        <v>766</v>
      </c>
      <c r="AL1" s="237"/>
      <c r="AM1" s="236" t="s">
        <v>766</v>
      </c>
      <c r="AN1" s="236" t="s">
        <v>766</v>
      </c>
      <c r="AO1" s="237"/>
      <c r="AP1" s="236" t="s">
        <v>766</v>
      </c>
      <c r="AQ1" s="237"/>
      <c r="AR1" s="236" t="s">
        <v>766</v>
      </c>
      <c r="AS1" s="302" t="s">
        <v>766</v>
      </c>
      <c r="AU1" s="311" t="s">
        <v>911</v>
      </c>
      <c r="AV1" s="190" t="s">
        <v>911</v>
      </c>
      <c r="AW1" s="311" t="s">
        <v>911</v>
      </c>
      <c r="AX1" s="311" t="s">
        <v>911</v>
      </c>
      <c r="AY1" s="314"/>
      <c r="AZ1" s="311" t="s">
        <v>911</v>
      </c>
      <c r="BA1" s="311" t="s">
        <v>911</v>
      </c>
      <c r="BB1" s="314"/>
      <c r="BC1" s="311" t="s">
        <v>911</v>
      </c>
      <c r="BD1" s="314"/>
      <c r="BE1" s="311" t="s">
        <v>911</v>
      </c>
      <c r="BF1" s="311" t="s">
        <v>911</v>
      </c>
      <c r="BG1" s="306"/>
      <c r="BH1" s="389" t="s">
        <v>1104</v>
      </c>
      <c r="BI1" s="190" t="s">
        <v>1104</v>
      </c>
      <c r="BJ1" s="389" t="s">
        <v>1104</v>
      </c>
      <c r="BK1" s="389" t="s">
        <v>1104</v>
      </c>
      <c r="BL1" s="389"/>
      <c r="BM1" s="389" t="s">
        <v>1104</v>
      </c>
      <c r="BN1" s="389" t="s">
        <v>1104</v>
      </c>
      <c r="BO1" s="392"/>
      <c r="BP1" s="389" t="s">
        <v>1104</v>
      </c>
      <c r="BQ1" s="392"/>
      <c r="BR1" s="389" t="s">
        <v>1104</v>
      </c>
      <c r="BS1" s="389" t="s">
        <v>1104</v>
      </c>
      <c r="BT1" s="306"/>
      <c r="BU1" s="537" t="s">
        <v>1226</v>
      </c>
      <c r="BV1" s="190" t="s">
        <v>1226</v>
      </c>
      <c r="BW1" s="537" t="s">
        <v>1226</v>
      </c>
      <c r="BX1" s="537" t="s">
        <v>1226</v>
      </c>
      <c r="BY1" s="540"/>
      <c r="BZ1" s="537" t="s">
        <v>1226</v>
      </c>
      <c r="CA1" s="537" t="s">
        <v>1226</v>
      </c>
      <c r="CB1" s="540"/>
      <c r="CC1" s="757" t="s">
        <v>1226</v>
      </c>
      <c r="CD1" s="568"/>
      <c r="CE1" s="537" t="s">
        <v>1226</v>
      </c>
      <c r="CF1" s="537" t="s">
        <v>1226</v>
      </c>
      <c r="CG1" s="306"/>
      <c r="CH1" s="809"/>
      <c r="CI1" s="809"/>
      <c r="CJ1" s="884"/>
    </row>
    <row r="2" spans="1:93" s="113" customFormat="1" ht="27.6" x14ac:dyDescent="0.3">
      <c r="C2" s="114"/>
      <c r="D2" s="114"/>
      <c r="E2" s="115"/>
      <c r="H2" s="556" t="s">
        <v>500</v>
      </c>
      <c r="I2" s="556" t="s">
        <v>587</v>
      </c>
      <c r="J2" s="556" t="s">
        <v>493</v>
      </c>
      <c r="K2" s="557" t="s">
        <v>494</v>
      </c>
      <c r="L2" s="558"/>
      <c r="M2" s="556" t="s">
        <v>495</v>
      </c>
      <c r="N2" s="556" t="s">
        <v>496</v>
      </c>
      <c r="O2" s="558"/>
      <c r="P2" s="559" t="s">
        <v>590</v>
      </c>
      <c r="Q2" s="553"/>
      <c r="R2" s="116" t="s">
        <v>468</v>
      </c>
      <c r="S2" s="116" t="s">
        <v>120</v>
      </c>
      <c r="U2" s="545" t="s">
        <v>500</v>
      </c>
      <c r="V2" s="545" t="s">
        <v>587</v>
      </c>
      <c r="W2" s="545" t="s">
        <v>493</v>
      </c>
      <c r="X2" s="546" t="s">
        <v>494</v>
      </c>
      <c r="Y2" s="547"/>
      <c r="Z2" s="545" t="s">
        <v>495</v>
      </c>
      <c r="AA2" s="545" t="s">
        <v>496</v>
      </c>
      <c r="AB2" s="547"/>
      <c r="AC2" s="548" t="s">
        <v>590</v>
      </c>
      <c r="AD2" s="702"/>
      <c r="AE2" s="116" t="s">
        <v>468</v>
      </c>
      <c r="AF2" s="193" t="s">
        <v>120</v>
      </c>
      <c r="AH2" s="238" t="s">
        <v>500</v>
      </c>
      <c r="AI2" s="191" t="s">
        <v>587</v>
      </c>
      <c r="AJ2" s="238" t="s">
        <v>493</v>
      </c>
      <c r="AK2" s="239" t="s">
        <v>494</v>
      </c>
      <c r="AL2" s="240"/>
      <c r="AM2" s="238" t="s">
        <v>495</v>
      </c>
      <c r="AN2" s="238" t="s">
        <v>496</v>
      </c>
      <c r="AO2" s="240"/>
      <c r="AP2" s="238" t="s">
        <v>590</v>
      </c>
      <c r="AQ2" s="240"/>
      <c r="AR2" s="564" t="s">
        <v>468</v>
      </c>
      <c r="AS2" s="565" t="s">
        <v>120</v>
      </c>
      <c r="AU2" s="312" t="s">
        <v>500</v>
      </c>
      <c r="AV2" s="191" t="s">
        <v>587</v>
      </c>
      <c r="AW2" s="312" t="s">
        <v>493</v>
      </c>
      <c r="AX2" s="315" t="s">
        <v>494</v>
      </c>
      <c r="AY2" s="316"/>
      <c r="AZ2" s="312" t="s">
        <v>1085</v>
      </c>
      <c r="BA2" s="312" t="s">
        <v>496</v>
      </c>
      <c r="BB2" s="316"/>
      <c r="BC2" s="312" t="s">
        <v>590</v>
      </c>
      <c r="BD2" s="316"/>
      <c r="BE2" s="564" t="s">
        <v>468</v>
      </c>
      <c r="BF2" s="564" t="s">
        <v>120</v>
      </c>
      <c r="BG2" s="307"/>
      <c r="BH2" s="390" t="s">
        <v>500</v>
      </c>
      <c r="BI2" s="191" t="s">
        <v>587</v>
      </c>
      <c r="BJ2" s="390" t="s">
        <v>493</v>
      </c>
      <c r="BK2" s="393" t="s">
        <v>494</v>
      </c>
      <c r="BL2" s="394"/>
      <c r="BM2" s="390" t="s">
        <v>1159</v>
      </c>
      <c r="BN2" s="390" t="s">
        <v>496</v>
      </c>
      <c r="BO2" s="394"/>
      <c r="BP2" s="390" t="s">
        <v>590</v>
      </c>
      <c r="BQ2" s="394"/>
      <c r="BR2" s="564" t="s">
        <v>468</v>
      </c>
      <c r="BS2" s="564" t="s">
        <v>1227</v>
      </c>
      <c r="BT2" s="307"/>
      <c r="BU2" s="538" t="s">
        <v>500</v>
      </c>
      <c r="BV2" s="191" t="s">
        <v>587</v>
      </c>
      <c r="BW2" s="538" t="s">
        <v>493</v>
      </c>
      <c r="BX2" s="541" t="s">
        <v>494</v>
      </c>
      <c r="BY2" s="542"/>
      <c r="BZ2" s="538" t="s">
        <v>1159</v>
      </c>
      <c r="CA2" s="538" t="s">
        <v>496</v>
      </c>
      <c r="CB2" s="542"/>
      <c r="CC2" s="758" t="s">
        <v>590</v>
      </c>
      <c r="CD2" s="569"/>
      <c r="CE2" s="564" t="s">
        <v>468</v>
      </c>
      <c r="CF2" s="564" t="s">
        <v>1228</v>
      </c>
      <c r="CG2" s="307"/>
      <c r="CH2" s="810" t="s">
        <v>1492</v>
      </c>
      <c r="CI2" s="810"/>
      <c r="CJ2" s="885"/>
    </row>
    <row r="3" spans="1:93" s="12" customFormat="1" x14ac:dyDescent="0.3">
      <c r="C3" s="35"/>
      <c r="D3" s="35"/>
      <c r="E3" s="47"/>
      <c r="H3" s="560"/>
      <c r="I3" s="560"/>
      <c r="J3" s="560"/>
      <c r="K3" s="561"/>
      <c r="L3" s="562"/>
      <c r="M3" s="560"/>
      <c r="N3" s="560"/>
      <c r="O3" s="562"/>
      <c r="P3" s="563"/>
      <c r="Q3" s="555"/>
      <c r="R3" s="13"/>
      <c r="S3" s="13"/>
      <c r="U3" s="549"/>
      <c r="V3" s="549"/>
      <c r="W3" s="549"/>
      <c r="X3" s="550"/>
      <c r="Y3" s="551"/>
      <c r="Z3" s="549"/>
      <c r="AA3" s="549"/>
      <c r="AB3" s="551"/>
      <c r="AC3" s="552"/>
      <c r="AD3" s="703"/>
      <c r="AE3" s="13"/>
      <c r="AF3" s="194"/>
      <c r="AH3" s="241"/>
      <c r="AI3" s="192"/>
      <c r="AJ3" s="241"/>
      <c r="AK3" s="242"/>
      <c r="AL3" s="243"/>
      <c r="AM3" s="241"/>
      <c r="AN3" s="241"/>
      <c r="AO3" s="243"/>
      <c r="AP3" s="241"/>
      <c r="AQ3" s="243"/>
      <c r="AR3" s="566"/>
      <c r="AS3" s="567"/>
      <c r="AU3" s="313"/>
      <c r="AV3" s="192"/>
      <c r="AW3" s="313"/>
      <c r="AX3" s="317"/>
      <c r="AY3" s="318"/>
      <c r="AZ3" s="313"/>
      <c r="BA3" s="313" t="s">
        <v>1093</v>
      </c>
      <c r="BB3" s="318"/>
      <c r="BC3" s="313"/>
      <c r="BD3" s="318"/>
      <c r="BE3" s="566"/>
      <c r="BF3" s="566"/>
      <c r="BG3" s="308"/>
      <c r="BH3" s="391"/>
      <c r="BI3" s="192"/>
      <c r="BJ3" s="391"/>
      <c r="BK3" s="395"/>
      <c r="BL3" s="396"/>
      <c r="BM3" s="391"/>
      <c r="BN3" s="391"/>
      <c r="BO3" s="396"/>
      <c r="BP3" s="391"/>
      <c r="BQ3" s="396"/>
      <c r="BR3" s="566"/>
      <c r="BS3" s="566"/>
      <c r="BT3" s="308"/>
      <c r="BU3" s="539"/>
      <c r="BV3" s="192"/>
      <c r="BW3" s="539"/>
      <c r="BX3" s="543"/>
      <c r="BY3" s="544"/>
      <c r="BZ3" s="539"/>
      <c r="CA3" s="539"/>
      <c r="CB3" s="544"/>
      <c r="CC3" s="759"/>
      <c r="CD3" s="570"/>
      <c r="CE3" s="567" t="s">
        <v>1659</v>
      </c>
      <c r="CF3" s="566"/>
      <c r="CG3" s="308"/>
      <c r="CH3" s="811"/>
      <c r="CI3" s="811"/>
      <c r="CJ3" s="886"/>
    </row>
    <row r="4" spans="1:93" s="1" customFormat="1" ht="20.100000000000001" customHeight="1" x14ac:dyDescent="0.3">
      <c r="A4" s="63" t="s">
        <v>344</v>
      </c>
      <c r="B4" s="59"/>
      <c r="C4" s="60"/>
      <c r="D4" s="60"/>
      <c r="E4" s="61"/>
      <c r="F4" s="59"/>
      <c r="G4" s="59"/>
      <c r="H4" s="62"/>
      <c r="I4" s="62"/>
      <c r="J4" s="62"/>
      <c r="K4" s="120"/>
      <c r="M4" s="62"/>
      <c r="N4" s="62"/>
      <c r="P4" s="132"/>
      <c r="R4" s="62"/>
      <c r="S4" s="62"/>
      <c r="U4" s="62"/>
      <c r="V4" s="62"/>
      <c r="W4" s="62"/>
      <c r="X4" s="120"/>
      <c r="Z4" s="62"/>
      <c r="AA4" s="62"/>
      <c r="AC4" s="132"/>
      <c r="AE4" s="62"/>
      <c r="AF4" s="195"/>
      <c r="AH4" s="62"/>
      <c r="AI4" s="62"/>
      <c r="AJ4" s="62"/>
      <c r="AK4" s="120"/>
      <c r="AM4" s="62"/>
      <c r="AN4" s="62"/>
      <c r="AP4" s="132"/>
      <c r="AR4" s="62"/>
      <c r="AS4" s="195"/>
      <c r="AU4" s="62"/>
      <c r="AV4" s="62"/>
      <c r="AW4" s="62"/>
      <c r="AX4" s="120"/>
      <c r="AZ4" s="62"/>
      <c r="BA4" s="62"/>
      <c r="BC4" s="132"/>
      <c r="BE4" s="62"/>
      <c r="BF4" s="62"/>
      <c r="BH4" s="62"/>
      <c r="BI4" s="62"/>
      <c r="BJ4" s="62"/>
      <c r="BK4" s="120"/>
      <c r="BM4" s="62"/>
      <c r="BN4" s="62"/>
      <c r="BP4" s="398"/>
      <c r="BR4" s="62"/>
      <c r="BS4" s="62"/>
      <c r="BU4" s="62"/>
      <c r="BV4" s="528"/>
      <c r="BW4" s="571"/>
      <c r="BX4" s="572"/>
      <c r="BY4" s="573"/>
      <c r="BZ4" s="571"/>
      <c r="CA4" s="571"/>
      <c r="CB4" s="573"/>
      <c r="CC4" s="760"/>
      <c r="CD4" s="573"/>
      <c r="CE4" s="571"/>
      <c r="CF4" s="571"/>
      <c r="CH4" s="812"/>
      <c r="CI4" s="812"/>
      <c r="CJ4" s="886"/>
    </row>
    <row r="5" spans="1:93" s="1" customFormat="1" ht="15.6" x14ac:dyDescent="0.3">
      <c r="A5" s="14" t="s">
        <v>1</v>
      </c>
      <c r="B5" s="2"/>
      <c r="C5" s="36"/>
      <c r="D5" s="36"/>
      <c r="E5" s="48"/>
      <c r="F5" s="2"/>
      <c r="G5" s="2"/>
      <c r="H5" s="15"/>
      <c r="I5" s="15"/>
      <c r="J5" s="15"/>
      <c r="K5" s="121"/>
      <c r="M5" s="15"/>
      <c r="N5" s="15"/>
      <c r="P5" s="133"/>
      <c r="R5" s="15"/>
      <c r="S5" s="15"/>
      <c r="U5" s="15"/>
      <c r="V5" s="15"/>
      <c r="W5" s="15"/>
      <c r="X5" s="121"/>
      <c r="Z5" s="15"/>
      <c r="AA5" s="15"/>
      <c r="AC5" s="133"/>
      <c r="AE5" s="15"/>
      <c r="AF5" s="196"/>
      <c r="AH5" s="15"/>
      <c r="AI5" s="15"/>
      <c r="AJ5" s="15"/>
      <c r="AK5" s="121"/>
      <c r="AM5" s="15"/>
      <c r="AN5" s="15"/>
      <c r="AP5" s="133"/>
      <c r="AR5" s="15"/>
      <c r="AS5" s="15"/>
      <c r="AU5" s="15"/>
      <c r="AV5" s="15"/>
      <c r="AW5" s="15"/>
      <c r="AX5" s="121"/>
      <c r="AZ5" s="15"/>
      <c r="BA5" s="15"/>
      <c r="BC5" s="133"/>
      <c r="BE5" s="15"/>
      <c r="BF5" s="15"/>
      <c r="BH5" s="15"/>
      <c r="BI5" s="15"/>
      <c r="BJ5" s="15"/>
      <c r="BK5" s="121"/>
      <c r="BM5" s="15"/>
      <c r="BN5" s="15"/>
      <c r="BP5" s="234"/>
      <c r="BR5" s="15"/>
      <c r="BS5" s="15"/>
      <c r="BU5" s="15"/>
      <c r="BV5" s="529"/>
      <c r="BW5" s="574"/>
      <c r="BX5" s="575"/>
      <c r="BY5" s="573"/>
      <c r="BZ5" s="574"/>
      <c r="CA5" s="574"/>
      <c r="CB5" s="573"/>
      <c r="CC5" s="761"/>
      <c r="CD5" s="573"/>
      <c r="CE5" s="574"/>
      <c r="CF5" s="574"/>
      <c r="CH5" s="812"/>
      <c r="CI5" s="812"/>
      <c r="CJ5" s="886"/>
    </row>
    <row r="6" spans="1:93" x14ac:dyDescent="0.3">
      <c r="A6" s="11">
        <v>114</v>
      </c>
      <c r="B6" s="3" t="s">
        <v>2</v>
      </c>
      <c r="C6" s="37">
        <v>11401</v>
      </c>
      <c r="D6" s="37">
        <v>51110</v>
      </c>
      <c r="E6" s="49" t="s">
        <v>358</v>
      </c>
      <c r="F6" s="3" t="s">
        <v>2</v>
      </c>
      <c r="G6" s="3" t="s">
        <v>1</v>
      </c>
      <c r="H6" s="26">
        <v>50</v>
      </c>
      <c r="I6" s="117"/>
      <c r="J6" s="16">
        <f>H6+I6</f>
        <v>50</v>
      </c>
      <c r="K6" s="122">
        <f>IF(H6=0," ",(J6-H6)/H6)</f>
        <v>0</v>
      </c>
      <c r="M6" s="117">
        <v>50</v>
      </c>
      <c r="N6" s="117">
        <v>50</v>
      </c>
      <c r="P6" s="259" t="s">
        <v>547</v>
      </c>
      <c r="R6" s="26">
        <v>50</v>
      </c>
      <c r="S6" s="26">
        <v>0</v>
      </c>
      <c r="U6" s="26">
        <v>50</v>
      </c>
      <c r="V6" s="244">
        <v>0</v>
      </c>
      <c r="W6" s="16">
        <f>U6+V6</f>
        <v>50</v>
      </c>
      <c r="X6" s="122">
        <f>IF(U6=0," ",(W6-U6)/U6)</f>
        <v>0</v>
      </c>
      <c r="Z6" s="117">
        <v>50</v>
      </c>
      <c r="AA6" s="117">
        <v>50</v>
      </c>
      <c r="AC6" s="259"/>
      <c r="AE6" s="26">
        <v>50</v>
      </c>
      <c r="AF6" s="200">
        <v>0</v>
      </c>
      <c r="AH6" s="26">
        <v>50</v>
      </c>
      <c r="AI6" s="244"/>
      <c r="AJ6" s="16">
        <f>AH6+AI6</f>
        <v>50</v>
      </c>
      <c r="AK6" s="122">
        <f>IF(AH6=0," ",(AJ6-AH6)/AH6)</f>
        <v>0</v>
      </c>
      <c r="AM6" s="117">
        <v>50</v>
      </c>
      <c r="AN6" s="117">
        <v>50</v>
      </c>
      <c r="AP6" s="259"/>
      <c r="AR6" s="26">
        <v>50</v>
      </c>
      <c r="AS6" s="26">
        <v>0</v>
      </c>
      <c r="AU6" s="26">
        <f>AR6</f>
        <v>50</v>
      </c>
      <c r="AV6" s="244"/>
      <c r="AW6" s="16">
        <f>AU6+AV6</f>
        <v>50</v>
      </c>
      <c r="AX6" s="122">
        <f>IF(AU6=0," ",(AW6-AU6)/AU6)</f>
        <v>0</v>
      </c>
      <c r="AZ6" s="117">
        <v>50</v>
      </c>
      <c r="BA6" s="117">
        <v>50</v>
      </c>
      <c r="BC6" s="259"/>
      <c r="BE6" s="26">
        <v>50</v>
      </c>
      <c r="BF6" s="26">
        <v>0</v>
      </c>
      <c r="BH6" s="26">
        <v>50</v>
      </c>
      <c r="BI6" s="244"/>
      <c r="BJ6" s="16">
        <f>BH6+BI6</f>
        <v>50</v>
      </c>
      <c r="BK6" s="122">
        <f>IF(BH6=0," ",(BJ6-BH6)/BH6)</f>
        <v>0</v>
      </c>
      <c r="BM6" s="117">
        <v>50</v>
      </c>
      <c r="BN6" s="117">
        <v>50</v>
      </c>
      <c r="BP6" s="259"/>
      <c r="BR6" s="117">
        <v>50</v>
      </c>
      <c r="BS6" s="26">
        <v>0</v>
      </c>
      <c r="BU6" s="26">
        <v>50</v>
      </c>
      <c r="BV6" s="244"/>
      <c r="BW6" s="576">
        <f>BU6+BV6</f>
        <v>50</v>
      </c>
      <c r="BX6" s="577">
        <f>IF(BU6=0," ",(BW6-BU6)/BU6)</f>
        <v>0</v>
      </c>
      <c r="BZ6" s="166">
        <v>50</v>
      </c>
      <c r="CA6" s="166">
        <v>50</v>
      </c>
      <c r="CC6" s="753"/>
      <c r="CE6" s="166">
        <v>50</v>
      </c>
      <c r="CF6" s="166"/>
      <c r="CJ6" s="886"/>
      <c r="CK6" s="1"/>
      <c r="CO6" s="16"/>
    </row>
    <row r="7" spans="1:93" s="19" customFormat="1" x14ac:dyDescent="0.3">
      <c r="A7" s="17"/>
      <c r="B7" s="4"/>
      <c r="C7" s="38"/>
      <c r="D7" s="38"/>
      <c r="E7" s="50"/>
      <c r="F7" s="4"/>
      <c r="G7" s="4" t="s">
        <v>114</v>
      </c>
      <c r="H7" s="18">
        <f t="shared" ref="H7" si="0">SUM(H6)</f>
        <v>50</v>
      </c>
      <c r="I7" s="18">
        <f>SUM(I6)</f>
        <v>0</v>
      </c>
      <c r="J7" s="18">
        <f>SUM(J6)</f>
        <v>50</v>
      </c>
      <c r="K7" s="123">
        <f>IF(H7=0," ",(J7-H7)/H7)</f>
        <v>0</v>
      </c>
      <c r="M7" s="18">
        <f>SUM(M6)</f>
        <v>50</v>
      </c>
      <c r="N7" s="18">
        <f>SUM(N6)</f>
        <v>50</v>
      </c>
      <c r="P7" s="134">
        <f>SUM(P6)</f>
        <v>0</v>
      </c>
      <c r="R7" s="18">
        <f>SUM(R6)</f>
        <v>50</v>
      </c>
      <c r="S7" s="18">
        <f>SUM(S6)</f>
        <v>0</v>
      </c>
      <c r="U7" s="18">
        <f>SUM(U6)</f>
        <v>50</v>
      </c>
      <c r="V7" s="18">
        <f>SUM(V6)</f>
        <v>0</v>
      </c>
      <c r="W7" s="18">
        <f>SUM(W6)</f>
        <v>50</v>
      </c>
      <c r="X7" s="123">
        <f>IF(U7=0," ",(W7-U7)/U7)</f>
        <v>0</v>
      </c>
      <c r="Z7" s="18">
        <f>SUM(Z6)</f>
        <v>50</v>
      </c>
      <c r="AA7" s="18">
        <f>SUM(AA6)</f>
        <v>50</v>
      </c>
      <c r="AC7" s="134"/>
      <c r="AE7" s="18">
        <f>SUM(AE6)</f>
        <v>50</v>
      </c>
      <c r="AF7" s="198">
        <f>SUM(AF6)</f>
        <v>0</v>
      </c>
      <c r="AH7" s="18">
        <v>50</v>
      </c>
      <c r="AI7" s="18">
        <f>SUM(AI6)</f>
        <v>0</v>
      </c>
      <c r="AJ7" s="18">
        <f>SUM(AJ6)</f>
        <v>50</v>
      </c>
      <c r="AK7" s="123">
        <f>IF(AH7=0," ",(AJ7-AH7)/AH7)</f>
        <v>0</v>
      </c>
      <c r="AM7" s="18">
        <f>SUM(AM6)</f>
        <v>50</v>
      </c>
      <c r="AN7" s="18">
        <f>SUM(AN6)</f>
        <v>50</v>
      </c>
      <c r="AP7" s="134"/>
      <c r="AR7" s="18">
        <f>SUM(AR6)</f>
        <v>50</v>
      </c>
      <c r="AS7" s="18">
        <f>SUM(AS6)</f>
        <v>0</v>
      </c>
      <c r="AU7" s="18">
        <f>SUM(AU6)</f>
        <v>50</v>
      </c>
      <c r="AV7" s="18">
        <f>SUM(AV6)</f>
        <v>0</v>
      </c>
      <c r="AW7" s="18">
        <f>SUM(AW6)</f>
        <v>50</v>
      </c>
      <c r="AX7" s="123">
        <f>IF(AU7=0," ",(AW7-AU7)/AU7)</f>
        <v>0</v>
      </c>
      <c r="AZ7" s="18">
        <f>SUM(AZ6)</f>
        <v>50</v>
      </c>
      <c r="BA7" s="18">
        <f>SUM(BA6)</f>
        <v>50</v>
      </c>
      <c r="BC7" s="134"/>
      <c r="BE7" s="18">
        <f>SUM(BE6)</f>
        <v>50</v>
      </c>
      <c r="BF7" s="18">
        <f>SUM(BF6)</f>
        <v>0</v>
      </c>
      <c r="BG7" s="9"/>
      <c r="BH7" s="18">
        <f>SUM(BH6)</f>
        <v>50</v>
      </c>
      <c r="BI7" s="18">
        <f>SUM(BI6)</f>
        <v>0</v>
      </c>
      <c r="BJ7" s="18">
        <f>SUM(BJ6)</f>
        <v>50</v>
      </c>
      <c r="BK7" s="123">
        <f>IF(BH7=0," ",(BJ7-BH7)/BH7)</f>
        <v>0</v>
      </c>
      <c r="BM7" s="18">
        <f>SUM(BM6)</f>
        <v>50</v>
      </c>
      <c r="BN7" s="18">
        <f>SUM(BN6)</f>
        <v>50</v>
      </c>
      <c r="BP7" s="134"/>
      <c r="BR7" s="18">
        <f>SUM(BR6)</f>
        <v>50</v>
      </c>
      <c r="BS7" s="18">
        <f>SUM(BS6)</f>
        <v>0</v>
      </c>
      <c r="BT7" s="9"/>
      <c r="BU7" s="18">
        <f>SUM(BU6)</f>
        <v>50</v>
      </c>
      <c r="BV7" s="530">
        <f>SUM(BV6)</f>
        <v>0</v>
      </c>
      <c r="BW7" s="578">
        <f>SUM(BW6)</f>
        <v>50</v>
      </c>
      <c r="BX7" s="579">
        <f>IF(BU7=0," ",(BW7-BU7)/BU7)</f>
        <v>0</v>
      </c>
      <c r="BY7" s="580"/>
      <c r="BZ7" s="578">
        <f>SUM(BZ6)</f>
        <v>50</v>
      </c>
      <c r="CA7" s="578">
        <f>SUM(CA6)</f>
        <v>50</v>
      </c>
      <c r="CB7" s="580"/>
      <c r="CC7" s="762"/>
      <c r="CD7" s="580"/>
      <c r="CE7" s="578">
        <f>SUM(CE6)</f>
        <v>50</v>
      </c>
      <c r="CF7" s="578">
        <f>SUM(CF6)</f>
        <v>0</v>
      </c>
      <c r="CG7" s="9"/>
      <c r="CH7" s="813"/>
      <c r="CI7" s="813"/>
      <c r="CJ7" s="886"/>
      <c r="CK7" s="1"/>
      <c r="CO7" s="16"/>
    </row>
    <row r="8" spans="1:93" x14ac:dyDescent="0.3">
      <c r="AS8" s="16"/>
      <c r="CJ8" s="886"/>
      <c r="CK8" s="1"/>
      <c r="CO8" s="16"/>
    </row>
    <row r="9" spans="1:93" s="1" customFormat="1" x14ac:dyDescent="0.3">
      <c r="A9" s="20"/>
      <c r="B9" s="5"/>
      <c r="C9" s="39"/>
      <c r="D9" s="39"/>
      <c r="E9" s="51"/>
      <c r="F9" s="5"/>
      <c r="G9" s="21" t="s">
        <v>115</v>
      </c>
      <c r="H9" s="22">
        <f t="shared" ref="H9" si="1">SUM(H7)</f>
        <v>50</v>
      </c>
      <c r="I9" s="22">
        <f>SUM(I7)</f>
        <v>0</v>
      </c>
      <c r="J9" s="22">
        <f>SUM(J7)</f>
        <v>50</v>
      </c>
      <c r="K9" s="124">
        <f>IF(H9=0," ",(J9-H9)/H9)</f>
        <v>0</v>
      </c>
      <c r="M9" s="22">
        <f>SUM(M7)</f>
        <v>50</v>
      </c>
      <c r="N9" s="22">
        <f>SUM(N7)</f>
        <v>50</v>
      </c>
      <c r="P9" s="136">
        <f>SUM(P7)</f>
        <v>0</v>
      </c>
      <c r="R9" s="22">
        <f>SUM(R7)</f>
        <v>50</v>
      </c>
      <c r="S9" s="22">
        <f>SUM(S7)</f>
        <v>0</v>
      </c>
      <c r="U9" s="22">
        <f>SUM(U7)</f>
        <v>50</v>
      </c>
      <c r="V9" s="22">
        <f>SUM(V7)</f>
        <v>0</v>
      </c>
      <c r="W9" s="22">
        <f>SUM(W7)</f>
        <v>50</v>
      </c>
      <c r="X9" s="124">
        <f>IF(U9=0," ",(W9-U9)/U9)</f>
        <v>0</v>
      </c>
      <c r="Z9" s="22">
        <f>SUM(Z7)</f>
        <v>50</v>
      </c>
      <c r="AA9" s="22">
        <f>SUM(AA7)</f>
        <v>50</v>
      </c>
      <c r="AC9" s="136"/>
      <c r="AE9" s="22">
        <f>SUM(AE7)</f>
        <v>50</v>
      </c>
      <c r="AF9" s="199">
        <f>SUM(AF7)</f>
        <v>0</v>
      </c>
      <c r="AH9" s="22">
        <v>50</v>
      </c>
      <c r="AI9" s="22">
        <f>SUM(AI7)</f>
        <v>0</v>
      </c>
      <c r="AJ9" s="22">
        <f>SUM(AJ7)</f>
        <v>50</v>
      </c>
      <c r="AK9" s="124">
        <f>IF(AH9=0," ",(AJ9-AH9)/AH9)</f>
        <v>0</v>
      </c>
      <c r="AM9" s="22">
        <f>SUM(AM7)</f>
        <v>50</v>
      </c>
      <c r="AN9" s="22">
        <f>SUM(AN7)</f>
        <v>50</v>
      </c>
      <c r="AP9" s="136"/>
      <c r="AR9" s="22">
        <f>SUM(AR7)</f>
        <v>50</v>
      </c>
      <c r="AS9" s="22">
        <f>SUM(AS7)</f>
        <v>0</v>
      </c>
      <c r="AU9" s="22">
        <f>SUM(AU7)</f>
        <v>50</v>
      </c>
      <c r="AV9" s="22">
        <f>SUM(AV7)</f>
        <v>0</v>
      </c>
      <c r="AW9" s="22">
        <f>SUM(AW7)</f>
        <v>50</v>
      </c>
      <c r="AX9" s="124">
        <f>IF(AU9=0," ",(AW9-AU9)/AU9)</f>
        <v>0</v>
      </c>
      <c r="AZ9" s="22">
        <f>SUM(AZ7)</f>
        <v>50</v>
      </c>
      <c r="BA9" s="22">
        <f>SUM(BA7)</f>
        <v>50</v>
      </c>
      <c r="BC9" s="136"/>
      <c r="BE9" s="22">
        <f>SUM(BE7)</f>
        <v>50</v>
      </c>
      <c r="BF9" s="22">
        <f>SUM(BF7)</f>
        <v>0</v>
      </c>
      <c r="BH9" s="22">
        <f>SUM(BH7)</f>
        <v>50</v>
      </c>
      <c r="BI9" s="22">
        <f>SUM(BI7)</f>
        <v>0</v>
      </c>
      <c r="BJ9" s="22">
        <f>SUM(BJ7)</f>
        <v>50</v>
      </c>
      <c r="BK9" s="124">
        <f>IF(BH9=0," ",(BJ9-BH9)/BH9)</f>
        <v>0</v>
      </c>
      <c r="BM9" s="22">
        <f>SUM(BM7)</f>
        <v>50</v>
      </c>
      <c r="BN9" s="22">
        <f>SUM(BN7)</f>
        <v>50</v>
      </c>
      <c r="BP9" s="136"/>
      <c r="BR9" s="22">
        <f>SUM(BR7)</f>
        <v>50</v>
      </c>
      <c r="BS9" s="22">
        <f>SUM(BS7)</f>
        <v>0</v>
      </c>
      <c r="BU9" s="22">
        <f>SUM(BU7)</f>
        <v>50</v>
      </c>
      <c r="BV9" s="531">
        <f>SUM(BV7)</f>
        <v>0</v>
      </c>
      <c r="BW9" s="581">
        <f>SUM(BW7)</f>
        <v>50</v>
      </c>
      <c r="BX9" s="582">
        <f>IF(BU9=0," ",(BW9-BU9)/BU9)</f>
        <v>0</v>
      </c>
      <c r="BY9" s="573"/>
      <c r="BZ9" s="581">
        <f>SUM(BZ7)</f>
        <v>50</v>
      </c>
      <c r="CA9" s="581">
        <f>SUM(CA7)</f>
        <v>50</v>
      </c>
      <c r="CB9" s="573"/>
      <c r="CC9" s="764"/>
      <c r="CD9" s="573"/>
      <c r="CE9" s="581">
        <f>SUM(CE7)</f>
        <v>50</v>
      </c>
      <c r="CF9" s="581">
        <f>SUM(CF7)</f>
        <v>0</v>
      </c>
      <c r="CH9" s="812"/>
      <c r="CI9" s="812"/>
      <c r="CJ9" s="886"/>
      <c r="CO9" s="16"/>
    </row>
    <row r="10" spans="1:93" ht="20.100000000000001" customHeight="1" x14ac:dyDescent="0.3">
      <c r="AS10" s="16"/>
      <c r="CJ10" s="886"/>
      <c r="CK10" s="1"/>
      <c r="CO10" s="16"/>
    </row>
    <row r="11" spans="1:93" s="1" customFormat="1" ht="15.6" x14ac:dyDescent="0.3">
      <c r="A11" s="14" t="s">
        <v>1182</v>
      </c>
      <c r="B11" s="2"/>
      <c r="C11" s="36"/>
      <c r="D11" s="36"/>
      <c r="E11" s="48"/>
      <c r="F11" s="2"/>
      <c r="G11" s="2"/>
      <c r="H11" s="15"/>
      <c r="I11" s="15"/>
      <c r="J11" s="15"/>
      <c r="K11" s="121"/>
      <c r="M11" s="15"/>
      <c r="N11" s="15"/>
      <c r="P11" s="133"/>
      <c r="R11" s="15"/>
      <c r="S11" s="15"/>
      <c r="U11" s="15"/>
      <c r="V11" s="15"/>
      <c r="W11" s="15"/>
      <c r="X11" s="121"/>
      <c r="Z11" s="15"/>
      <c r="AA11" s="15"/>
      <c r="AC11" s="133"/>
      <c r="AE11" s="15"/>
      <c r="AF11" s="196"/>
      <c r="AH11" s="15"/>
      <c r="AI11" s="15"/>
      <c r="AJ11" s="15"/>
      <c r="AK11" s="121"/>
      <c r="AM11" s="15"/>
      <c r="AN11" s="15"/>
      <c r="AP11" s="133"/>
      <c r="AR11" s="15"/>
      <c r="AS11" s="15"/>
      <c r="AU11" s="15"/>
      <c r="AV11" s="15"/>
      <c r="AW11" s="15"/>
      <c r="AX11" s="121"/>
      <c r="AZ11" s="15"/>
      <c r="BA11" s="15"/>
      <c r="BC11" s="133"/>
      <c r="BE11" s="15"/>
      <c r="BF11" s="15"/>
      <c r="BH11" s="15"/>
      <c r="BI11" s="15"/>
      <c r="BJ11" s="15"/>
      <c r="BK11" s="121"/>
      <c r="BM11" s="15"/>
      <c r="BN11" s="15"/>
      <c r="BP11" s="234"/>
      <c r="BR11" s="15"/>
      <c r="BS11" s="15"/>
      <c r="BU11" s="15"/>
      <c r="BV11" s="529"/>
      <c r="BW11" s="574"/>
      <c r="BX11" s="575"/>
      <c r="BY11" s="573"/>
      <c r="BZ11" s="574"/>
      <c r="CA11" s="574"/>
      <c r="CB11" s="573"/>
      <c r="CC11" s="761"/>
      <c r="CD11" s="573"/>
      <c r="CE11" s="574"/>
      <c r="CF11" s="574"/>
      <c r="CH11" s="812"/>
      <c r="CI11" s="812"/>
      <c r="CJ11" s="886"/>
      <c r="CO11" s="16"/>
    </row>
    <row r="12" spans="1:93" x14ac:dyDescent="0.3">
      <c r="A12" s="11">
        <v>122</v>
      </c>
      <c r="B12" s="3" t="s">
        <v>2</v>
      </c>
      <c r="C12" s="37">
        <v>12201</v>
      </c>
      <c r="D12" s="37">
        <v>51110</v>
      </c>
      <c r="E12" s="49" t="s">
        <v>358</v>
      </c>
      <c r="F12" s="3" t="s">
        <v>2</v>
      </c>
      <c r="G12" s="3" t="s">
        <v>1183</v>
      </c>
      <c r="H12" s="26">
        <v>5</v>
      </c>
      <c r="I12" s="117"/>
      <c r="J12" s="16">
        <f>H12+I12</f>
        <v>5</v>
      </c>
      <c r="K12" s="122">
        <f>IF(H12=0," ",(J12-H12)/H12)</f>
        <v>0</v>
      </c>
      <c r="M12" s="117">
        <v>5</v>
      </c>
      <c r="N12" s="117">
        <v>5</v>
      </c>
      <c r="P12" s="259"/>
      <c r="R12" s="26">
        <v>5</v>
      </c>
      <c r="S12" s="26">
        <v>0</v>
      </c>
      <c r="U12" s="26">
        <v>5</v>
      </c>
      <c r="V12" s="244"/>
      <c r="W12" s="16">
        <f>U12+V12</f>
        <v>5</v>
      </c>
      <c r="X12" s="122">
        <f>IF(U12=0," ",(W12-U12)/U12)</f>
        <v>0</v>
      </c>
      <c r="Z12" s="117">
        <v>5</v>
      </c>
      <c r="AA12" s="117">
        <v>5</v>
      </c>
      <c r="AC12" s="259"/>
      <c r="AE12" s="26">
        <v>5</v>
      </c>
      <c r="AF12" s="200">
        <v>0</v>
      </c>
      <c r="AH12" s="26">
        <v>5</v>
      </c>
      <c r="AI12" s="244"/>
      <c r="AJ12" s="16">
        <f>AH12+AI12</f>
        <v>5</v>
      </c>
      <c r="AK12" s="122">
        <f>IF(AH12=0," ",(AJ12-AH12)/AH12)</f>
        <v>0</v>
      </c>
      <c r="AM12" s="117">
        <v>5</v>
      </c>
      <c r="AN12" s="117">
        <v>5</v>
      </c>
      <c r="AP12" s="259"/>
      <c r="AR12" s="26">
        <v>5</v>
      </c>
      <c r="AS12" s="26">
        <v>0</v>
      </c>
      <c r="AU12" s="26">
        <f t="shared" ref="AU12:AU17" si="2">AR12</f>
        <v>5</v>
      </c>
      <c r="AV12" s="244"/>
      <c r="AW12" s="16">
        <f>AU12+AV12</f>
        <v>5</v>
      </c>
      <c r="AX12" s="122">
        <f>IF(AU12=0," ",(AW12-AU12)/AU12)</f>
        <v>0</v>
      </c>
      <c r="AZ12" s="117">
        <v>5</v>
      </c>
      <c r="BA12" s="117">
        <v>5</v>
      </c>
      <c r="BC12" s="259"/>
      <c r="BE12" s="26">
        <v>5</v>
      </c>
      <c r="BF12" s="26">
        <v>0</v>
      </c>
      <c r="BH12" s="26">
        <v>5</v>
      </c>
      <c r="BI12" s="244"/>
      <c r="BJ12" s="16">
        <f>BH12+BI12</f>
        <v>5</v>
      </c>
      <c r="BK12" s="122">
        <f>IF(BH12=0," ",(BJ12-BH12)/BH12)</f>
        <v>0</v>
      </c>
      <c r="BM12" s="117">
        <v>5</v>
      </c>
      <c r="BN12" s="117">
        <v>5</v>
      </c>
      <c r="BP12" s="259"/>
      <c r="BR12" s="117">
        <v>5</v>
      </c>
      <c r="BS12" s="26">
        <v>0</v>
      </c>
      <c r="BU12" s="26">
        <v>5</v>
      </c>
      <c r="BV12" s="244">
        <v>0</v>
      </c>
      <c r="BW12" s="576">
        <f>BU12+BV12</f>
        <v>5</v>
      </c>
      <c r="BX12" s="577">
        <f>IF(BU12=0," ",(BW12-BU12)/BU12)</f>
        <v>0</v>
      </c>
      <c r="BZ12" s="166">
        <v>5</v>
      </c>
      <c r="CA12" s="166">
        <v>5</v>
      </c>
      <c r="CC12" s="753"/>
      <c r="CE12" s="166">
        <v>5</v>
      </c>
      <c r="CF12" s="166"/>
      <c r="CJ12" s="886"/>
      <c r="CK12" s="1"/>
      <c r="CO12" s="16"/>
    </row>
    <row r="13" spans="1:93" x14ac:dyDescent="0.3">
      <c r="A13" s="11">
        <v>122</v>
      </c>
      <c r="B13" s="3" t="s">
        <v>2</v>
      </c>
      <c r="C13" s="37">
        <v>12201</v>
      </c>
      <c r="D13" s="37">
        <v>51112</v>
      </c>
      <c r="E13" s="49" t="s">
        <v>119</v>
      </c>
      <c r="F13" s="3" t="s">
        <v>2</v>
      </c>
      <c r="G13" s="3" t="s">
        <v>357</v>
      </c>
      <c r="H13" s="26">
        <v>114444</v>
      </c>
      <c r="I13" s="117">
        <v>13056</v>
      </c>
      <c r="J13" s="16">
        <f>H13+I13</f>
        <v>127500</v>
      </c>
      <c r="K13" s="122">
        <f>IF(H13=0," ",(J13-H13)/H13)</f>
        <v>0.1140819964349376</v>
      </c>
      <c r="M13" s="117">
        <v>127500</v>
      </c>
      <c r="N13" s="117">
        <v>127500</v>
      </c>
      <c r="P13" s="259" t="s">
        <v>552</v>
      </c>
      <c r="R13" s="26">
        <v>127500</v>
      </c>
      <c r="S13" s="26">
        <v>127868.15</v>
      </c>
      <c r="U13" s="26">
        <v>127500</v>
      </c>
      <c r="V13" s="244">
        <v>2550</v>
      </c>
      <c r="W13" s="16">
        <f>U13+V13</f>
        <v>130050</v>
      </c>
      <c r="X13" s="122">
        <f>IF(U13=0," ",(W13-U13)/U13)</f>
        <v>0.02</v>
      </c>
      <c r="Z13" s="117">
        <v>130050</v>
      </c>
      <c r="AA13" s="117">
        <v>130050</v>
      </c>
      <c r="AC13" s="259" t="s">
        <v>693</v>
      </c>
      <c r="AE13" s="26">
        <v>130050</v>
      </c>
      <c r="AF13" s="200">
        <v>130049.91</v>
      </c>
      <c r="AH13" s="26">
        <v>130050</v>
      </c>
      <c r="AI13" s="244"/>
      <c r="AJ13" s="16">
        <f>AH13+AI13</f>
        <v>130050</v>
      </c>
      <c r="AK13" s="122">
        <f>IF(AH13=0," ",(AJ13-AH13)/AH13)</f>
        <v>0</v>
      </c>
      <c r="AM13" s="117">
        <v>130050</v>
      </c>
      <c r="AN13" s="117">
        <v>130050</v>
      </c>
      <c r="AP13" s="259" t="s">
        <v>859</v>
      </c>
      <c r="AR13" s="26">
        <v>130050</v>
      </c>
      <c r="AS13" s="26">
        <v>121940.95</v>
      </c>
      <c r="AU13" s="26">
        <f t="shared" si="2"/>
        <v>130050</v>
      </c>
      <c r="AV13" s="244">
        <v>4590</v>
      </c>
      <c r="AW13" s="16">
        <f>AU13+AV13</f>
        <v>134640</v>
      </c>
      <c r="AX13" s="122">
        <f>IF(AU13=0," ",(AW13-AU13)/AU13)</f>
        <v>3.5294117647058823E-2</v>
      </c>
      <c r="AZ13" s="117">
        <v>134640</v>
      </c>
      <c r="BA13" s="117">
        <f>134640-660</f>
        <v>133980</v>
      </c>
      <c r="BC13" s="259" t="s">
        <v>985</v>
      </c>
      <c r="BE13" s="26">
        <f>134640-660</f>
        <v>133980</v>
      </c>
      <c r="BF13" s="26">
        <v>133980</v>
      </c>
      <c r="BH13" s="26">
        <f>134640-660</f>
        <v>133980</v>
      </c>
      <c r="BI13" s="244">
        <v>2680</v>
      </c>
      <c r="BJ13" s="16">
        <f>BH13+BI13</f>
        <v>136660</v>
      </c>
      <c r="BK13" s="122">
        <f>IF(BH13=0," ",(BJ13-BH13)/BH13)</f>
        <v>2.0002985520226901E-2</v>
      </c>
      <c r="BM13" s="117">
        <v>136660</v>
      </c>
      <c r="BN13" s="117">
        <v>136660</v>
      </c>
      <c r="BP13" s="259" t="s">
        <v>985</v>
      </c>
      <c r="BR13" s="117">
        <v>136660</v>
      </c>
      <c r="BS13" s="26">
        <v>61261.2</v>
      </c>
      <c r="BU13" s="26">
        <v>136660</v>
      </c>
      <c r="BV13" s="244">
        <v>0</v>
      </c>
      <c r="BW13" s="576">
        <f>BU13+BV13</f>
        <v>136660</v>
      </c>
      <c r="BX13" s="577">
        <f>IF(BU13=0," ",(BW13-BU13)/BU13)</f>
        <v>0</v>
      </c>
      <c r="BZ13" s="166">
        <v>136660</v>
      </c>
      <c r="CA13" s="166">
        <v>150000</v>
      </c>
      <c r="CC13" s="753" t="s">
        <v>1598</v>
      </c>
      <c r="CE13" s="247">
        <v>150000</v>
      </c>
      <c r="CF13" s="166"/>
      <c r="CJ13" s="886"/>
      <c r="CK13" s="1"/>
      <c r="CO13" s="16"/>
    </row>
    <row r="14" spans="1:93" x14ac:dyDescent="0.3">
      <c r="A14" s="23">
        <v>122</v>
      </c>
      <c r="B14" s="7" t="s">
        <v>2</v>
      </c>
      <c r="C14" s="40">
        <v>12201</v>
      </c>
      <c r="D14" s="40">
        <v>51120</v>
      </c>
      <c r="E14" s="49" t="s">
        <v>119</v>
      </c>
      <c r="F14" s="7" t="s">
        <v>2</v>
      </c>
      <c r="G14" s="7" t="s">
        <v>1511</v>
      </c>
      <c r="H14" s="26"/>
      <c r="I14" s="117"/>
      <c r="J14" s="16">
        <f>H14+I14</f>
        <v>0</v>
      </c>
      <c r="K14" s="122" t="str">
        <f>IF(H14=0," ",(J14-H14)/H14)</f>
        <v xml:space="preserve"> </v>
      </c>
      <c r="M14" s="117"/>
      <c r="N14" s="117"/>
      <c r="P14" s="259"/>
      <c r="R14" s="26"/>
      <c r="S14" s="26">
        <v>0</v>
      </c>
      <c r="U14" s="26"/>
      <c r="V14" s="244">
        <f>63378+3016</f>
        <v>66394</v>
      </c>
      <c r="W14" s="16">
        <f>U14+V14</f>
        <v>66394</v>
      </c>
      <c r="X14" s="122" t="str">
        <f>IF(U14=0," ",(W14-U14)/U14)</f>
        <v xml:space="preserve"> </v>
      </c>
      <c r="Z14" s="117">
        <v>66394</v>
      </c>
      <c r="AA14" s="117">
        <v>66394</v>
      </c>
      <c r="AC14" s="259" t="s">
        <v>679</v>
      </c>
      <c r="AE14" s="26">
        <v>66394</v>
      </c>
      <c r="AF14" s="200">
        <v>66393.600000000006</v>
      </c>
      <c r="AH14" s="26">
        <v>66394</v>
      </c>
      <c r="AI14" s="244">
        <v>3739</v>
      </c>
      <c r="AJ14" s="16">
        <f>AH14+AI14</f>
        <v>70133</v>
      </c>
      <c r="AK14" s="122">
        <f>IF(AH14=0," ",(AJ14-AH14)/AH14)</f>
        <v>5.6315329698466726E-2</v>
      </c>
      <c r="AM14" s="117">
        <v>70133</v>
      </c>
      <c r="AN14" s="117">
        <v>70133</v>
      </c>
      <c r="AP14" s="259" t="s">
        <v>829</v>
      </c>
      <c r="AR14" s="26">
        <v>70133</v>
      </c>
      <c r="AS14" s="26">
        <v>70065.240000000005</v>
      </c>
      <c r="AU14" s="26">
        <f t="shared" si="2"/>
        <v>70133</v>
      </c>
      <c r="AV14" s="244">
        <v>3135</v>
      </c>
      <c r="AW14" s="16">
        <f>AU14+AV14</f>
        <v>73268</v>
      </c>
      <c r="AX14" s="122">
        <f>IF(AU14=0," ",(AW14-AU14)/AU14)</f>
        <v>4.4700782798397329E-2</v>
      </c>
      <c r="AZ14" s="117">
        <v>72976</v>
      </c>
      <c r="BA14" s="117">
        <v>71828</v>
      </c>
      <c r="BC14" s="259" t="s">
        <v>959</v>
      </c>
      <c r="BE14" s="26">
        <v>71828</v>
      </c>
      <c r="BF14" s="26">
        <v>71758.399999999994</v>
      </c>
      <c r="BH14" s="26">
        <v>71828</v>
      </c>
      <c r="BI14" s="244">
        <v>1440</v>
      </c>
      <c r="BJ14" s="16">
        <f>BH14+BI14</f>
        <v>73268</v>
      </c>
      <c r="BK14" s="122">
        <f>IF(BH14=0," ",(BJ14-BH14)/BH14)</f>
        <v>2.0047892186890907E-2</v>
      </c>
      <c r="BM14" s="117">
        <v>73268</v>
      </c>
      <c r="BN14" s="117">
        <v>73268</v>
      </c>
      <c r="BP14" s="428" t="s">
        <v>1286</v>
      </c>
      <c r="BR14" s="117">
        <v>73268</v>
      </c>
      <c r="BS14" s="26">
        <v>32844.239999999998</v>
      </c>
      <c r="BU14" s="26">
        <v>73268</v>
      </c>
      <c r="BV14" s="244">
        <v>1462</v>
      </c>
      <c r="BW14" s="576">
        <f>BU14+BV14</f>
        <v>74730</v>
      </c>
      <c r="BX14" s="577">
        <f>IF(BU14=0," ",(BW14-BU14)/BU14)</f>
        <v>1.9954140961947916E-2</v>
      </c>
      <c r="BZ14" s="166">
        <v>74730</v>
      </c>
      <c r="CA14" s="166">
        <v>74730</v>
      </c>
      <c r="CC14" s="765" t="s">
        <v>1512</v>
      </c>
      <c r="CE14" s="166">
        <v>74730</v>
      </c>
      <c r="CF14" s="166"/>
      <c r="CJ14" s="886"/>
      <c r="CK14" s="1"/>
      <c r="CO14" s="16"/>
    </row>
    <row r="15" spans="1:93" x14ac:dyDescent="0.3">
      <c r="A15" s="23">
        <v>122</v>
      </c>
      <c r="B15" s="7" t="s">
        <v>2</v>
      </c>
      <c r="C15" s="40">
        <v>12201</v>
      </c>
      <c r="D15" s="40">
        <v>51490</v>
      </c>
      <c r="E15" s="49" t="s">
        <v>119</v>
      </c>
      <c r="F15" s="7" t="s">
        <v>2</v>
      </c>
      <c r="G15" s="7" t="s">
        <v>762</v>
      </c>
      <c r="H15" s="146"/>
      <c r="I15" s="147"/>
      <c r="J15" s="31">
        <f>H15+I15</f>
        <v>0</v>
      </c>
      <c r="K15" s="148" t="str">
        <f>IF(H15=0," ",(J15-H15)/H15)</f>
        <v xml:space="preserve"> </v>
      </c>
      <c r="M15" s="147"/>
      <c r="N15" s="147"/>
      <c r="P15" s="149"/>
      <c r="R15" s="146"/>
      <c r="S15" s="146">
        <v>0</v>
      </c>
      <c r="U15" s="146"/>
      <c r="V15" s="246">
        <v>750</v>
      </c>
      <c r="W15" s="31">
        <f>U15+V15</f>
        <v>750</v>
      </c>
      <c r="X15" s="122" t="str">
        <f>IF(U15=0," ",(W15-U15)/U15)</f>
        <v xml:space="preserve"> </v>
      </c>
      <c r="Z15" s="147">
        <v>750</v>
      </c>
      <c r="AA15" s="147">
        <v>750</v>
      </c>
      <c r="AC15" s="149" t="s">
        <v>675</v>
      </c>
      <c r="AE15" s="146">
        <v>750</v>
      </c>
      <c r="AF15" s="272">
        <v>750</v>
      </c>
      <c r="AH15" s="146">
        <v>750</v>
      </c>
      <c r="AI15" s="246"/>
      <c r="AJ15" s="31">
        <f>AH15+AI15</f>
        <v>750</v>
      </c>
      <c r="AK15" s="148">
        <f>IF(AH15=0," ",(AJ15-AH15)/AH15)</f>
        <v>0</v>
      </c>
      <c r="AM15" s="147">
        <v>750</v>
      </c>
      <c r="AN15" s="147">
        <v>750</v>
      </c>
      <c r="AP15" s="149"/>
      <c r="AR15" s="146">
        <v>750</v>
      </c>
      <c r="AS15" s="26">
        <v>750</v>
      </c>
      <c r="AU15" s="26">
        <f t="shared" si="2"/>
        <v>750</v>
      </c>
      <c r="AV15" s="246"/>
      <c r="AW15" s="31">
        <f>AU15+AV15</f>
        <v>750</v>
      </c>
      <c r="AX15" s="148">
        <f>IF(AU15=0," ",(AW15-AU15)/AU15)</f>
        <v>0</v>
      </c>
      <c r="AZ15" s="117">
        <v>750</v>
      </c>
      <c r="BA15" s="117">
        <v>750</v>
      </c>
      <c r="BC15" s="149"/>
      <c r="BE15" s="26">
        <v>750</v>
      </c>
      <c r="BF15" s="26">
        <v>750</v>
      </c>
      <c r="BH15" s="26">
        <v>750</v>
      </c>
      <c r="BI15" s="246"/>
      <c r="BJ15" s="31">
        <f>BH15+BI15</f>
        <v>750</v>
      </c>
      <c r="BK15" s="148">
        <f>IF(BH15=0," ",(BJ15-BH15)/BH15)</f>
        <v>0</v>
      </c>
      <c r="BM15" s="117">
        <v>750</v>
      </c>
      <c r="BN15" s="117">
        <v>750</v>
      </c>
      <c r="BP15" s="149"/>
      <c r="BR15" s="117">
        <v>750</v>
      </c>
      <c r="BS15" s="146">
        <v>750</v>
      </c>
      <c r="BU15" s="26">
        <v>750</v>
      </c>
      <c r="BV15" s="246">
        <v>-750</v>
      </c>
      <c r="BW15" s="583">
        <f>BU15+BV15</f>
        <v>0</v>
      </c>
      <c r="BX15" s="584">
        <f>IF(BU15=0," ",(BW15-BU15)/BU15)</f>
        <v>-1</v>
      </c>
      <c r="BZ15" s="585">
        <v>0</v>
      </c>
      <c r="CA15" s="585">
        <v>0</v>
      </c>
      <c r="CC15" s="766" t="s">
        <v>1405</v>
      </c>
      <c r="CE15" s="585">
        <v>0</v>
      </c>
      <c r="CF15" s="166"/>
      <c r="CJ15" s="886"/>
      <c r="CK15" s="1"/>
      <c r="CO15" s="16"/>
    </row>
    <row r="16" spans="1:93" x14ac:dyDescent="0.3">
      <c r="A16" s="11">
        <v>122</v>
      </c>
      <c r="B16" s="3" t="s">
        <v>2</v>
      </c>
      <c r="C16" s="40">
        <v>12201</v>
      </c>
      <c r="D16" s="37">
        <v>51960</v>
      </c>
      <c r="E16" s="49" t="s">
        <v>119</v>
      </c>
      <c r="F16" s="3" t="s">
        <v>2</v>
      </c>
      <c r="G16" s="3" t="s">
        <v>17</v>
      </c>
      <c r="H16" s="26">
        <v>3000</v>
      </c>
      <c r="I16" s="117">
        <v>1200</v>
      </c>
      <c r="J16" s="16">
        <f>H16+I16</f>
        <v>4200</v>
      </c>
      <c r="K16" s="122">
        <f>IF(H16=0," ",(J16-H16)/H16)</f>
        <v>0.4</v>
      </c>
      <c r="M16" s="117">
        <v>4200</v>
      </c>
      <c r="N16" s="117">
        <v>4200</v>
      </c>
      <c r="P16" s="259" t="s">
        <v>553</v>
      </c>
      <c r="R16" s="26">
        <v>4200</v>
      </c>
      <c r="S16" s="26">
        <v>4200</v>
      </c>
      <c r="U16" s="26">
        <v>4200</v>
      </c>
      <c r="V16" s="244">
        <v>0</v>
      </c>
      <c r="W16" s="16">
        <f>U16+V16</f>
        <v>4200</v>
      </c>
      <c r="X16" s="122">
        <f>IF(U16=0," ",(W16-U16)/U16)</f>
        <v>0</v>
      </c>
      <c r="Z16" s="117">
        <v>4200</v>
      </c>
      <c r="AA16" s="117">
        <v>4200</v>
      </c>
      <c r="AC16" s="259"/>
      <c r="AE16" s="26">
        <v>4200</v>
      </c>
      <c r="AF16" s="200">
        <v>4200</v>
      </c>
      <c r="AH16" s="26">
        <v>4200</v>
      </c>
      <c r="AI16" s="244"/>
      <c r="AJ16" s="16">
        <f>AH16+AI16</f>
        <v>4200</v>
      </c>
      <c r="AK16" s="122">
        <f>IF(AH16=0," ",(AJ16-AH16)/AH16)</f>
        <v>0</v>
      </c>
      <c r="AM16" s="117">
        <v>4200</v>
      </c>
      <c r="AN16" s="117">
        <v>4200</v>
      </c>
      <c r="AP16" s="259" t="s">
        <v>859</v>
      </c>
      <c r="AR16" s="26">
        <v>4200</v>
      </c>
      <c r="AS16" s="146">
        <v>1750</v>
      </c>
      <c r="AU16" s="26">
        <f t="shared" si="2"/>
        <v>4200</v>
      </c>
      <c r="AV16" s="244">
        <v>-1200</v>
      </c>
      <c r="AW16" s="16">
        <f>AU16+AV16</f>
        <v>3000</v>
      </c>
      <c r="AX16" s="122">
        <f>IF(AU16=0," ",(AW16-AU16)/AU16)</f>
        <v>-0.2857142857142857</v>
      </c>
      <c r="AZ16" s="147">
        <v>3000</v>
      </c>
      <c r="BA16" s="147">
        <v>3000</v>
      </c>
      <c r="BC16" s="259" t="s">
        <v>985</v>
      </c>
      <c r="BE16" s="146">
        <v>3000</v>
      </c>
      <c r="BF16" s="146">
        <v>3000</v>
      </c>
      <c r="BH16" s="146">
        <v>3000</v>
      </c>
      <c r="BI16" s="244"/>
      <c r="BJ16" s="16">
        <f>BH16+BI16</f>
        <v>3000</v>
      </c>
      <c r="BK16" s="122">
        <f>IF(BH16=0," ",(BJ16-BH16)/BH16)</f>
        <v>0</v>
      </c>
      <c r="BM16" s="147">
        <v>3000</v>
      </c>
      <c r="BN16" s="147">
        <v>3000</v>
      </c>
      <c r="BP16" s="259"/>
      <c r="BR16" s="147">
        <v>3000</v>
      </c>
      <c r="BS16" s="26">
        <v>1500</v>
      </c>
      <c r="BU16" s="146">
        <v>3000</v>
      </c>
      <c r="BV16" s="244"/>
      <c r="BW16" s="576">
        <f>BU16+BV16</f>
        <v>3000</v>
      </c>
      <c r="BX16" s="577">
        <f>IF(BU16=0," ",(BW16-BU16)/BU16)</f>
        <v>0</v>
      </c>
      <c r="BZ16" s="166">
        <v>3000</v>
      </c>
      <c r="CA16" s="166">
        <v>3000</v>
      </c>
      <c r="CC16" s="753"/>
      <c r="CE16" s="166">
        <v>3000</v>
      </c>
      <c r="CF16" s="585"/>
      <c r="CJ16" s="886"/>
      <c r="CK16" s="1"/>
      <c r="CO16" s="16"/>
    </row>
    <row r="17" spans="1:93" x14ac:dyDescent="0.3">
      <c r="A17" s="11">
        <v>122</v>
      </c>
      <c r="C17" s="40">
        <v>12201</v>
      </c>
      <c r="D17" s="37">
        <v>51990</v>
      </c>
      <c r="E17" s="49" t="s">
        <v>119</v>
      </c>
      <c r="G17" s="3" t="s">
        <v>912</v>
      </c>
      <c r="H17" s="144"/>
      <c r="I17" s="118"/>
      <c r="J17" s="24"/>
      <c r="K17" s="127"/>
      <c r="M17" s="118"/>
      <c r="N17" s="118"/>
      <c r="P17" s="137"/>
      <c r="R17" s="144"/>
      <c r="S17" s="144">
        <v>0</v>
      </c>
      <c r="U17" s="144"/>
      <c r="V17" s="245"/>
      <c r="W17" s="24"/>
      <c r="Z17" s="118"/>
      <c r="AA17" s="118"/>
      <c r="AC17" s="137"/>
      <c r="AE17" s="144"/>
      <c r="AF17" s="271">
        <v>86700</v>
      </c>
      <c r="AH17" s="144"/>
      <c r="AI17" s="245"/>
      <c r="AJ17" s="24"/>
      <c r="AK17" s="127"/>
      <c r="AM17" s="118"/>
      <c r="AN17" s="118"/>
      <c r="AP17" s="137"/>
      <c r="AR17" s="144">
        <v>0</v>
      </c>
      <c r="AS17" s="144"/>
      <c r="AU17" s="144">
        <f t="shared" si="2"/>
        <v>0</v>
      </c>
      <c r="AV17" s="245"/>
      <c r="AW17" s="24"/>
      <c r="AX17" s="127"/>
      <c r="AZ17" s="118"/>
      <c r="BA17" s="118"/>
      <c r="BC17" s="137"/>
      <c r="BE17" s="144"/>
      <c r="BF17" s="144"/>
      <c r="BH17" s="144"/>
      <c r="BI17" s="245"/>
      <c r="BJ17" s="24"/>
      <c r="BK17" s="127"/>
      <c r="BM17" s="118"/>
      <c r="BN17" s="118"/>
      <c r="BP17" s="137"/>
      <c r="BR17" s="118"/>
      <c r="BS17" s="144"/>
      <c r="BU17" s="144"/>
      <c r="BV17" s="245"/>
      <c r="BW17" s="586"/>
      <c r="BX17" s="587"/>
      <c r="BZ17" s="588"/>
      <c r="CA17" s="588"/>
      <c r="CC17" s="767"/>
      <c r="CE17" s="588"/>
      <c r="CF17" s="588"/>
      <c r="CJ17" s="886"/>
      <c r="CK17" s="1"/>
      <c r="CO17" s="16"/>
    </row>
    <row r="18" spans="1:93" s="1" customFormat="1" x14ac:dyDescent="0.3">
      <c r="A18" s="25"/>
      <c r="B18" s="6"/>
      <c r="C18" s="41"/>
      <c r="D18" s="41"/>
      <c r="E18" s="52"/>
      <c r="F18" s="6"/>
      <c r="G18" s="6"/>
      <c r="H18" s="26">
        <f>SUM(H12:H17)</f>
        <v>117449</v>
      </c>
      <c r="I18" s="26">
        <f>SUM(I12:I17)</f>
        <v>14256</v>
      </c>
      <c r="J18" s="26">
        <f>SUM(J12:J17)</f>
        <v>131705</v>
      </c>
      <c r="K18" s="122">
        <f>IF(H18=0," ",(J18-H18)/H18)</f>
        <v>0.12138034380880212</v>
      </c>
      <c r="M18" s="26">
        <f>SUM(M12:M17)</f>
        <v>131705</v>
      </c>
      <c r="N18" s="26">
        <f>SUM(N12:N17)</f>
        <v>131705</v>
      </c>
      <c r="P18" s="138">
        <f>SUM(P12:P17)</f>
        <v>0</v>
      </c>
      <c r="R18" s="26">
        <f>SUM(R12:R17)</f>
        <v>131705</v>
      </c>
      <c r="S18" s="26">
        <f>SUM(S12:S17)</f>
        <v>132068.15</v>
      </c>
      <c r="U18" s="26">
        <f>SUM(U12:U17)</f>
        <v>131705</v>
      </c>
      <c r="V18" s="26">
        <f>SUM(V12:V17)</f>
        <v>69694</v>
      </c>
      <c r="W18" s="26">
        <f>SUM(W12:W17)</f>
        <v>201399</v>
      </c>
      <c r="X18" s="122">
        <f>IF(U18=0," ",(W18-U18)/U18)</f>
        <v>0.52916745757564254</v>
      </c>
      <c r="Z18" s="26">
        <f>SUM(Z12:Z17)</f>
        <v>201399</v>
      </c>
      <c r="AA18" s="26">
        <f>SUM(AA12:AA17)</f>
        <v>201399</v>
      </c>
      <c r="AC18" s="138"/>
      <c r="AE18" s="26">
        <f>SUM(AE12:AE17)</f>
        <v>201399</v>
      </c>
      <c r="AF18" s="200">
        <f>SUM(AF12:AF17)</f>
        <v>288093.51</v>
      </c>
      <c r="AH18" s="26">
        <f>SUM(AH12:AH17)</f>
        <v>201399</v>
      </c>
      <c r="AI18" s="26">
        <f>SUM(AI12:AI17)</f>
        <v>3739</v>
      </c>
      <c r="AJ18" s="26">
        <f>SUM(AJ12:AJ17)</f>
        <v>205138</v>
      </c>
      <c r="AK18" s="122">
        <f>IF(AH18=0," ",(AJ18-AH18)/AH18)</f>
        <v>1.8565136867611062E-2</v>
      </c>
      <c r="AM18" s="26">
        <f>SUM(AM12:AM17)</f>
        <v>205138</v>
      </c>
      <c r="AN18" s="26">
        <f>SUM(AN12:AN17)</f>
        <v>205138</v>
      </c>
      <c r="AP18" s="138"/>
      <c r="AR18" s="26">
        <f>SUM(AR12:AR17)</f>
        <v>205138</v>
      </c>
      <c r="AS18" s="26">
        <f>SUM(AS12:AS17)</f>
        <v>194506.19</v>
      </c>
      <c r="AU18" s="26">
        <f>SUM(AU12:AU17)</f>
        <v>205138</v>
      </c>
      <c r="AV18" s="26">
        <f>SUM(AV12:AV17)</f>
        <v>6525</v>
      </c>
      <c r="AW18" s="26">
        <f>SUM(AW12:AW17)</f>
        <v>211663</v>
      </c>
      <c r="AX18" s="122">
        <f>IF(AU18=0," ",(AW18-AU18)/AU18)</f>
        <v>3.1807856174867651E-2</v>
      </c>
      <c r="AZ18" s="26">
        <f>SUM(AZ12:AZ17)</f>
        <v>211371</v>
      </c>
      <c r="BA18" s="26">
        <f>SUM(BA12:BA17)</f>
        <v>209563</v>
      </c>
      <c r="BC18" s="138"/>
      <c r="BE18" s="26">
        <f>SUM(BE12:BE17)</f>
        <v>209563</v>
      </c>
      <c r="BF18" s="26">
        <f>SUM(BF12:BF17)</f>
        <v>209488.4</v>
      </c>
      <c r="BH18" s="26">
        <f>SUM(BH12:BH17)</f>
        <v>209563</v>
      </c>
      <c r="BI18" s="26">
        <f>SUM(BI12:BI17)</f>
        <v>4120</v>
      </c>
      <c r="BJ18" s="26">
        <f>SUM(BJ12:BJ17)</f>
        <v>213683</v>
      </c>
      <c r="BK18" s="122">
        <f>IF(BH18=0," ",(BJ18-BH18)/BH18)</f>
        <v>1.9659959057658077E-2</v>
      </c>
      <c r="BM18" s="26">
        <f>SUM(BM12:BM17)</f>
        <v>213683</v>
      </c>
      <c r="BN18" s="26">
        <f>SUM(BN12:BN17)</f>
        <v>213683</v>
      </c>
      <c r="BP18" s="138"/>
      <c r="BR18" s="26">
        <f>SUM(BR12:BR17)</f>
        <v>213683</v>
      </c>
      <c r="BS18" s="26">
        <f>SUM(BS12:BS17)</f>
        <v>96355.44</v>
      </c>
      <c r="BU18" s="26">
        <f>SUM(BU12:BU17)</f>
        <v>213683</v>
      </c>
      <c r="BV18" s="26">
        <f>SUM(BV12:BV17)</f>
        <v>712</v>
      </c>
      <c r="BW18" s="589">
        <f>SUM(BW12:BW17)</f>
        <v>214395</v>
      </c>
      <c r="BX18" s="577">
        <f>IF(BU18=0," ",(BW18-BU18)/BU18)</f>
        <v>3.3320385805141262E-3</v>
      </c>
      <c r="BY18" s="573"/>
      <c r="BZ18" s="589">
        <f>SUM(BZ12:BZ17)</f>
        <v>214395</v>
      </c>
      <c r="CA18" s="589">
        <f>SUM(CA12:CA17)</f>
        <v>227735</v>
      </c>
      <c r="CB18" s="573"/>
      <c r="CC18" s="768"/>
      <c r="CD18" s="573"/>
      <c r="CE18" s="589">
        <f>SUM(CE12:CE17)</f>
        <v>227735</v>
      </c>
      <c r="CF18" s="589">
        <f>SUM(CF12:CF17)</f>
        <v>0</v>
      </c>
      <c r="CH18" s="812"/>
      <c r="CI18" s="812"/>
      <c r="CJ18" s="886"/>
      <c r="CO18" s="16"/>
    </row>
    <row r="19" spans="1:93" x14ac:dyDescent="0.3">
      <c r="A19" s="23"/>
      <c r="B19" s="7"/>
      <c r="C19" s="40"/>
      <c r="D19" s="40"/>
      <c r="E19" s="53"/>
      <c r="F19" s="7"/>
      <c r="G19" s="7"/>
      <c r="R19" s="26"/>
      <c r="S19" s="26"/>
      <c r="AH19" s="26"/>
      <c r="AS19" s="26"/>
      <c r="AU19" s="26"/>
      <c r="BE19" s="26"/>
      <c r="BF19" s="26"/>
      <c r="BH19" s="26"/>
      <c r="BU19" s="26"/>
      <c r="BW19" s="576">
        <f>150000-BW13</f>
        <v>13340</v>
      </c>
      <c r="CJ19" s="886"/>
      <c r="CK19" s="1"/>
      <c r="CO19" s="16"/>
    </row>
    <row r="20" spans="1:93" x14ac:dyDescent="0.3">
      <c r="A20" s="23">
        <v>122</v>
      </c>
      <c r="B20" s="7" t="s">
        <v>2</v>
      </c>
      <c r="C20" s="40">
        <v>12202</v>
      </c>
      <c r="D20" s="40">
        <v>51130</v>
      </c>
      <c r="E20" s="53" t="s">
        <v>11</v>
      </c>
      <c r="F20" s="7" t="s">
        <v>2</v>
      </c>
      <c r="G20" s="7" t="s">
        <v>16</v>
      </c>
      <c r="H20" s="26">
        <v>60699</v>
      </c>
      <c r="I20" s="117">
        <v>2678.6</v>
      </c>
      <c r="J20" s="16">
        <f>H20+I20</f>
        <v>63377.599999999999</v>
      </c>
      <c r="K20" s="122">
        <f>IF(H20=0," ",(J20-H20)/H20)</f>
        <v>4.4129227829124013E-2</v>
      </c>
      <c r="M20" s="117">
        <v>63378</v>
      </c>
      <c r="N20" s="117">
        <v>63378</v>
      </c>
      <c r="P20" s="259" t="s">
        <v>563</v>
      </c>
      <c r="R20" s="26">
        <v>63378</v>
      </c>
      <c r="S20" s="26">
        <v>63560.42</v>
      </c>
      <c r="U20" s="26">
        <v>63378</v>
      </c>
      <c r="V20" s="244">
        <v>-63378</v>
      </c>
      <c r="W20" s="16">
        <f>U20+V20</f>
        <v>0</v>
      </c>
      <c r="X20" s="122">
        <f>IF(U20=0," ",(W20-U20)/U20)</f>
        <v>-1</v>
      </c>
      <c r="Z20" s="117"/>
      <c r="AA20" s="117"/>
      <c r="AC20" s="259" t="s">
        <v>639</v>
      </c>
      <c r="AE20" s="26"/>
      <c r="AF20" s="200">
        <v>0</v>
      </c>
      <c r="AH20" s="26"/>
      <c r="AI20" s="244"/>
      <c r="AJ20" s="16">
        <f t="shared" ref="AJ20:AJ26" si="3">AH20+AI20</f>
        <v>0</v>
      </c>
      <c r="AK20" s="122" t="str">
        <f t="shared" ref="AK20:AK27" si="4">IF(AH20=0," ",(AJ20-AH20)/AH20)</f>
        <v xml:space="preserve"> </v>
      </c>
      <c r="AM20" s="117"/>
      <c r="AN20" s="117"/>
      <c r="AP20" s="259"/>
      <c r="AR20" s="26">
        <v>0</v>
      </c>
      <c r="AS20" s="26"/>
      <c r="AU20" s="26">
        <f t="shared" ref="AU20:AU26" si="5">AR20</f>
        <v>0</v>
      </c>
      <c r="AV20" s="244"/>
      <c r="AW20" s="16">
        <f>AU20+AV20</f>
        <v>0</v>
      </c>
      <c r="AX20" s="122" t="str">
        <f t="shared" ref="AX20:AX27" si="6">IF(AU20=0," ",(AW20-AU20)/AU20)</f>
        <v xml:space="preserve"> </v>
      </c>
      <c r="AZ20" s="117"/>
      <c r="BA20" s="117"/>
      <c r="BC20" s="259"/>
      <c r="BE20" s="26"/>
      <c r="BF20" s="26"/>
      <c r="BH20" s="26"/>
      <c r="BI20" s="244"/>
      <c r="BJ20" s="16">
        <f>BH20+BI20</f>
        <v>0</v>
      </c>
      <c r="BK20" s="122" t="str">
        <f>IF(BH20=0," ",(BJ20-BH20)/BH20)</f>
        <v xml:space="preserve"> </v>
      </c>
      <c r="BM20" s="117"/>
      <c r="BN20" s="117"/>
      <c r="BP20" s="259"/>
      <c r="BR20" s="117"/>
      <c r="BS20" s="26"/>
      <c r="BU20" s="26"/>
      <c r="BV20" s="244"/>
      <c r="BW20" s="576">
        <f t="shared" ref="BW20:BW26" si="7">BU20+BV20</f>
        <v>0</v>
      </c>
      <c r="BX20" s="577" t="str">
        <f>IF(BU20=0," ",(BW20-BU20)/BU20)</f>
        <v xml:space="preserve"> </v>
      </c>
      <c r="BZ20" s="166">
        <v>0</v>
      </c>
      <c r="CA20" s="166">
        <v>0</v>
      </c>
      <c r="CC20" s="753"/>
      <c r="CE20" s="166">
        <v>0</v>
      </c>
      <c r="CF20" s="166"/>
      <c r="CJ20" s="886"/>
      <c r="CK20" s="1"/>
      <c r="CO20" s="16"/>
    </row>
    <row r="21" spans="1:93" x14ac:dyDescent="0.3">
      <c r="A21" s="23">
        <v>122</v>
      </c>
      <c r="B21" s="7" t="s">
        <v>2</v>
      </c>
      <c r="C21" s="40">
        <v>12202</v>
      </c>
      <c r="D21" s="40">
        <v>51140</v>
      </c>
      <c r="E21" s="53" t="s">
        <v>11</v>
      </c>
      <c r="F21" s="7" t="s">
        <v>2</v>
      </c>
      <c r="G21" s="7" t="s">
        <v>32</v>
      </c>
      <c r="H21" s="26">
        <v>54706</v>
      </c>
      <c r="I21" s="117">
        <v>-605.20000000000005</v>
      </c>
      <c r="J21" s="16">
        <f>H21+I21</f>
        <v>54100.800000000003</v>
      </c>
      <c r="K21" s="122">
        <f>IF(H21=0," ",(J21-H21)/H21)</f>
        <v>-1.106277190801735E-2</v>
      </c>
      <c r="M21" s="117">
        <v>54101</v>
      </c>
      <c r="N21" s="117">
        <v>54101</v>
      </c>
      <c r="P21" s="259" t="s">
        <v>562</v>
      </c>
      <c r="R21" s="26">
        <v>54101</v>
      </c>
      <c r="S21" s="26">
        <v>52411.19</v>
      </c>
      <c r="U21" s="26">
        <v>54101</v>
      </c>
      <c r="V21" s="244">
        <v>9111</v>
      </c>
      <c r="W21" s="16">
        <f>U21+V21</f>
        <v>63212</v>
      </c>
      <c r="X21" s="122">
        <f>IF(U21=0," ",(W21-U21)/U21)</f>
        <v>0.16840723831352469</v>
      </c>
      <c r="Z21" s="117">
        <v>63212</v>
      </c>
      <c r="AA21" s="117">
        <v>63212</v>
      </c>
      <c r="AC21" s="259" t="s">
        <v>702</v>
      </c>
      <c r="AE21" s="26">
        <v>63212</v>
      </c>
      <c r="AF21" s="200">
        <v>63172.03</v>
      </c>
      <c r="AH21" s="26">
        <v>63212</v>
      </c>
      <c r="AI21" s="244">
        <v>3673</v>
      </c>
      <c r="AJ21" s="16">
        <f t="shared" si="3"/>
        <v>66885</v>
      </c>
      <c r="AK21" s="122">
        <f t="shared" si="4"/>
        <v>5.8106055812187557E-2</v>
      </c>
      <c r="AM21" s="117">
        <v>66885</v>
      </c>
      <c r="AN21" s="117">
        <v>66885</v>
      </c>
      <c r="AP21" s="259" t="s">
        <v>830</v>
      </c>
      <c r="AR21" s="26">
        <v>66885</v>
      </c>
      <c r="AS21" s="26">
        <f>66821.3+133.84</f>
        <v>66955.14</v>
      </c>
      <c r="AU21" s="26">
        <f t="shared" si="5"/>
        <v>66885</v>
      </c>
      <c r="AV21" s="244">
        <v>2805</v>
      </c>
      <c r="AW21" s="16">
        <f>AU21+AV21</f>
        <v>69690</v>
      </c>
      <c r="AX21" s="122">
        <f t="shared" si="6"/>
        <v>4.1937654182552145E-2</v>
      </c>
      <c r="AZ21" s="117">
        <v>69418</v>
      </c>
      <c r="BA21" s="117">
        <v>68332</v>
      </c>
      <c r="BC21" s="259" t="s">
        <v>963</v>
      </c>
      <c r="BE21" s="26">
        <v>68332</v>
      </c>
      <c r="BF21" s="26">
        <v>68396.61</v>
      </c>
      <c r="BH21" s="26">
        <v>68332</v>
      </c>
      <c r="BI21" s="244">
        <v>1374</v>
      </c>
      <c r="BJ21" s="16">
        <f>BH21+BI21</f>
        <v>69706</v>
      </c>
      <c r="BK21" s="122">
        <f>IF(BH21=0," ",(BJ21-BH21)/BH21)</f>
        <v>2.0107709418720365E-2</v>
      </c>
      <c r="BM21" s="117">
        <v>69706</v>
      </c>
      <c r="BN21" s="117">
        <v>69706</v>
      </c>
      <c r="BP21" s="428" t="s">
        <v>1287</v>
      </c>
      <c r="BR21" s="117">
        <v>69706</v>
      </c>
      <c r="BS21" s="26">
        <v>31058.16</v>
      </c>
      <c r="BU21" s="26">
        <v>69706</v>
      </c>
      <c r="BV21" s="244">
        <v>1077</v>
      </c>
      <c r="BW21" s="576">
        <f t="shared" si="7"/>
        <v>70783</v>
      </c>
      <c r="BX21" s="577">
        <f>IF(BU21=0," ",(BW21-BU21)/BU21)</f>
        <v>1.5450606834418845E-2</v>
      </c>
      <c r="BZ21" s="166">
        <v>70783</v>
      </c>
      <c r="CA21" s="166">
        <v>70783</v>
      </c>
      <c r="CC21" s="765" t="s">
        <v>1479</v>
      </c>
      <c r="CE21" s="166">
        <v>70783</v>
      </c>
      <c r="CF21" s="166"/>
      <c r="CJ21" s="886"/>
      <c r="CK21" s="1"/>
      <c r="CO21" s="16"/>
    </row>
    <row r="22" spans="1:93" x14ac:dyDescent="0.3">
      <c r="A22" s="23">
        <v>122</v>
      </c>
      <c r="B22" s="7"/>
      <c r="C22" s="40">
        <v>12202</v>
      </c>
      <c r="D22" s="827">
        <v>51142</v>
      </c>
      <c r="E22" s="53" t="s">
        <v>11</v>
      </c>
      <c r="F22" s="7"/>
      <c r="G22" s="826" t="s">
        <v>1477</v>
      </c>
      <c r="H22" s="26"/>
      <c r="I22" s="117"/>
      <c r="M22" s="117"/>
      <c r="N22" s="117"/>
      <c r="P22" s="259"/>
      <c r="R22" s="26"/>
      <c r="S22" s="26"/>
      <c r="U22" s="26"/>
      <c r="V22" s="244"/>
      <c r="Z22" s="117"/>
      <c r="AA22" s="117"/>
      <c r="AC22" s="259"/>
      <c r="AE22" s="26"/>
      <c r="AF22" s="200"/>
      <c r="AH22" s="26"/>
      <c r="AI22" s="244"/>
      <c r="AM22" s="117"/>
      <c r="AN22" s="117"/>
      <c r="AP22" s="259"/>
      <c r="AR22" s="26"/>
      <c r="AS22" s="26"/>
      <c r="AU22" s="26"/>
      <c r="AV22" s="244"/>
      <c r="AZ22" s="117"/>
      <c r="BA22" s="117"/>
      <c r="BC22" s="259"/>
      <c r="BE22" s="26"/>
      <c r="BF22" s="26"/>
      <c r="BH22" s="26"/>
      <c r="BI22" s="244"/>
      <c r="BM22" s="117"/>
      <c r="BN22" s="117"/>
      <c r="BP22" s="428"/>
      <c r="BR22" s="117"/>
      <c r="BS22" s="26"/>
      <c r="BU22" s="26"/>
      <c r="BV22" s="244"/>
      <c r="BZ22" s="166"/>
      <c r="CA22" s="166">
        <v>8413</v>
      </c>
      <c r="CC22" s="765" t="s">
        <v>1478</v>
      </c>
      <c r="CE22" s="247">
        <v>8413</v>
      </c>
      <c r="CF22" s="166"/>
      <c r="CH22" s="813">
        <v>8413</v>
      </c>
      <c r="CJ22" s="886"/>
      <c r="CK22" s="1"/>
      <c r="CO22" s="16"/>
    </row>
    <row r="23" spans="1:93" x14ac:dyDescent="0.3">
      <c r="A23" s="23">
        <v>122</v>
      </c>
      <c r="B23" s="7"/>
      <c r="C23" s="40">
        <v>12202</v>
      </c>
      <c r="D23" s="40">
        <v>51143</v>
      </c>
      <c r="E23" s="53" t="s">
        <v>11</v>
      </c>
      <c r="F23" s="7"/>
      <c r="G23" s="7" t="s">
        <v>831</v>
      </c>
      <c r="H23" s="26"/>
      <c r="I23" s="117"/>
      <c r="M23" s="117"/>
      <c r="N23" s="117"/>
      <c r="P23" s="259"/>
      <c r="R23" s="26"/>
      <c r="S23" s="26"/>
      <c r="U23" s="26"/>
      <c r="V23" s="244"/>
      <c r="Z23" s="117"/>
      <c r="AA23" s="117"/>
      <c r="AC23" s="259"/>
      <c r="AE23" s="26"/>
      <c r="AF23" s="200">
        <v>1055.3</v>
      </c>
      <c r="AH23" s="26"/>
      <c r="AI23" s="244"/>
      <c r="AJ23" s="16">
        <f t="shared" si="3"/>
        <v>0</v>
      </c>
      <c r="AK23" s="122" t="str">
        <f t="shared" si="4"/>
        <v xml:space="preserve"> </v>
      </c>
      <c r="AM23" s="117">
        <v>2125</v>
      </c>
      <c r="AN23" s="117">
        <v>2125</v>
      </c>
      <c r="AP23" s="266" t="s">
        <v>863</v>
      </c>
      <c r="AR23" s="26">
        <v>2125</v>
      </c>
      <c r="AS23" s="26">
        <v>3027.08</v>
      </c>
      <c r="AU23" s="26">
        <f t="shared" si="5"/>
        <v>2125</v>
      </c>
      <c r="AV23" s="244">
        <v>50</v>
      </c>
      <c r="AW23" s="16">
        <f>AU23+AV23</f>
        <v>2175</v>
      </c>
      <c r="AX23" s="122">
        <f t="shared" si="6"/>
        <v>2.3529411764705882E-2</v>
      </c>
      <c r="AZ23" s="117">
        <v>2167</v>
      </c>
      <c r="BA23" s="117">
        <v>2120</v>
      </c>
      <c r="BC23" s="266" t="s">
        <v>1080</v>
      </c>
      <c r="BE23" s="26">
        <v>2120</v>
      </c>
      <c r="BF23" s="26">
        <v>3701.09</v>
      </c>
      <c r="BH23" s="26">
        <v>2120</v>
      </c>
      <c r="BI23" s="244">
        <v>42</v>
      </c>
      <c r="BJ23" s="16">
        <f>BH23+BI23</f>
        <v>2162</v>
      </c>
      <c r="BK23" s="122">
        <f>IF(BH23=0," ",(BJ23-BH23)/BH23)</f>
        <v>1.981132075471698E-2</v>
      </c>
      <c r="BM23" s="117">
        <v>2162</v>
      </c>
      <c r="BN23" s="117">
        <v>2162</v>
      </c>
      <c r="BP23" s="411" t="s">
        <v>1288</v>
      </c>
      <c r="BR23" s="117">
        <v>2162</v>
      </c>
      <c r="BS23" s="26">
        <v>1322.46</v>
      </c>
      <c r="BU23" s="26">
        <v>2162</v>
      </c>
      <c r="BV23" s="244">
        <v>44</v>
      </c>
      <c r="BW23" s="576">
        <f t="shared" si="7"/>
        <v>2206</v>
      </c>
      <c r="BX23" s="577">
        <f>IF(BU23=0," ",(BW23-BU23)/BU23)</f>
        <v>2.0351526364477335E-2</v>
      </c>
      <c r="BZ23" s="166">
        <v>2206</v>
      </c>
      <c r="CA23" s="166">
        <v>2206</v>
      </c>
      <c r="CC23" s="765" t="s">
        <v>1480</v>
      </c>
      <c r="CE23" s="166">
        <v>2206</v>
      </c>
      <c r="CF23" s="166"/>
      <c r="CJ23" s="886"/>
      <c r="CK23" s="1"/>
      <c r="CO23" s="16"/>
    </row>
    <row r="24" spans="1:93" x14ac:dyDescent="0.3">
      <c r="A24" s="23">
        <v>122</v>
      </c>
      <c r="B24" s="7"/>
      <c r="C24" s="40">
        <v>12202</v>
      </c>
      <c r="D24" s="40">
        <v>51912</v>
      </c>
      <c r="E24" s="53" t="s">
        <v>11</v>
      </c>
      <c r="F24" s="7"/>
      <c r="G24" s="7" t="s">
        <v>913</v>
      </c>
      <c r="H24" s="26"/>
      <c r="I24" s="117"/>
      <c r="M24" s="117"/>
      <c r="N24" s="117"/>
      <c r="P24" s="259"/>
      <c r="R24" s="26"/>
      <c r="S24" s="26">
        <v>0</v>
      </c>
      <c r="U24" s="26"/>
      <c r="V24" s="244"/>
      <c r="Z24" s="117"/>
      <c r="AA24" s="117"/>
      <c r="AC24" s="259"/>
      <c r="AE24" s="26"/>
      <c r="AF24" s="200">
        <v>428.18</v>
      </c>
      <c r="AH24" s="26"/>
      <c r="AI24" s="244"/>
      <c r="AJ24" s="16">
        <f t="shared" si="3"/>
        <v>0</v>
      </c>
      <c r="AM24" s="117"/>
      <c r="AN24" s="117"/>
      <c r="AP24" s="266"/>
      <c r="AR24" s="26">
        <v>0</v>
      </c>
      <c r="AS24" s="26"/>
      <c r="AU24" s="26">
        <f t="shared" si="5"/>
        <v>0</v>
      </c>
      <c r="AV24" s="244"/>
      <c r="AZ24" s="117"/>
      <c r="BA24" s="117"/>
      <c r="BC24" s="266"/>
      <c r="BE24" s="26"/>
      <c r="BF24" s="26"/>
      <c r="BH24" s="26"/>
      <c r="BI24" s="244"/>
      <c r="BM24" s="117"/>
      <c r="BN24" s="117"/>
      <c r="BP24" s="259"/>
      <c r="BR24" s="117"/>
      <c r="BS24" s="26"/>
      <c r="BU24" s="26"/>
      <c r="BV24" s="244"/>
      <c r="BW24" s="576">
        <f t="shared" si="7"/>
        <v>0</v>
      </c>
      <c r="BZ24" s="166">
        <v>0</v>
      </c>
      <c r="CA24" s="166">
        <v>0</v>
      </c>
      <c r="CC24" s="753"/>
      <c r="CE24" s="166">
        <v>0</v>
      </c>
      <c r="CF24" s="166"/>
      <c r="CJ24" s="886"/>
      <c r="CK24" s="1"/>
      <c r="CO24" s="16"/>
    </row>
    <row r="25" spans="1:93" s="7" customFormat="1" x14ac:dyDescent="0.3">
      <c r="A25" s="23">
        <v>122</v>
      </c>
      <c r="B25" s="7" t="s">
        <v>2</v>
      </c>
      <c r="C25" s="40">
        <v>12202</v>
      </c>
      <c r="D25" s="40">
        <v>51310</v>
      </c>
      <c r="E25" s="53" t="s">
        <v>11</v>
      </c>
      <c r="F25" s="7" t="s">
        <v>2</v>
      </c>
      <c r="G25" s="7" t="s">
        <v>764</v>
      </c>
      <c r="H25" s="146">
        <v>750</v>
      </c>
      <c r="I25" s="147"/>
      <c r="J25" s="31">
        <f>H25+I25</f>
        <v>750</v>
      </c>
      <c r="K25" s="148">
        <f>IF(H25=0," ",(J25-H25)/H25)</f>
        <v>0</v>
      </c>
      <c r="M25" s="147"/>
      <c r="N25" s="147"/>
      <c r="P25" s="149"/>
      <c r="R25" s="146"/>
      <c r="S25" s="146"/>
      <c r="U25" s="146"/>
      <c r="V25" s="246"/>
      <c r="W25" s="31">
        <f>U25+V25</f>
        <v>0</v>
      </c>
      <c r="X25" s="122" t="str">
        <f>IF(U25=0," ",(W25-U25)/U25)</f>
        <v xml:space="preserve"> </v>
      </c>
      <c r="Z25" s="147"/>
      <c r="AA25" s="147"/>
      <c r="AC25" s="149"/>
      <c r="AE25" s="146"/>
      <c r="AF25" s="272"/>
      <c r="AH25" s="146"/>
      <c r="AI25" s="246"/>
      <c r="AJ25" s="31">
        <f t="shared" si="3"/>
        <v>0</v>
      </c>
      <c r="AK25" s="122" t="str">
        <f t="shared" si="4"/>
        <v xml:space="preserve"> </v>
      </c>
      <c r="AM25" s="147"/>
      <c r="AN25" s="147"/>
      <c r="AP25" s="149"/>
      <c r="AR25" s="146">
        <v>0</v>
      </c>
      <c r="AS25" s="26"/>
      <c r="AU25" s="26">
        <f t="shared" si="5"/>
        <v>0</v>
      </c>
      <c r="AV25" s="246"/>
      <c r="AW25" s="31">
        <f>AU25+AV25</f>
        <v>0</v>
      </c>
      <c r="AX25" s="122" t="str">
        <f t="shared" si="6"/>
        <v xml:space="preserve"> </v>
      </c>
      <c r="AZ25" s="117"/>
      <c r="BA25" s="117"/>
      <c r="BC25" s="149"/>
      <c r="BE25" s="26"/>
      <c r="BF25" s="26"/>
      <c r="BG25" s="6"/>
      <c r="BH25" s="26"/>
      <c r="BI25" s="246"/>
      <c r="BJ25" s="31">
        <f>BH25+BI25</f>
        <v>0</v>
      </c>
      <c r="BK25" s="122" t="str">
        <f>IF(BH25=0," ",(BJ25-BH25)/BH25)</f>
        <v xml:space="preserve"> </v>
      </c>
      <c r="BM25" s="117"/>
      <c r="BN25" s="117"/>
      <c r="BP25" s="149"/>
      <c r="BR25" s="117"/>
      <c r="BS25" s="146"/>
      <c r="BT25" s="6"/>
      <c r="BU25" s="26"/>
      <c r="BV25" s="246"/>
      <c r="BW25" s="583">
        <f t="shared" si="7"/>
        <v>0</v>
      </c>
      <c r="BX25" s="577" t="str">
        <f>IF(BU25=0," ",(BW25-BU25)/BU25)</f>
        <v xml:space="preserve"> </v>
      </c>
      <c r="BY25" s="590"/>
      <c r="BZ25" s="585">
        <v>0</v>
      </c>
      <c r="CA25" s="585">
        <v>0</v>
      </c>
      <c r="CB25" s="590"/>
      <c r="CC25" s="766"/>
      <c r="CD25" s="590"/>
      <c r="CE25" s="585">
        <v>0</v>
      </c>
      <c r="CF25" s="166"/>
      <c r="CG25" s="6"/>
      <c r="CH25" s="814"/>
      <c r="CI25" s="814"/>
      <c r="CJ25" s="886"/>
      <c r="CK25" s="1"/>
      <c r="CO25" s="16"/>
    </row>
    <row r="26" spans="1:93" x14ac:dyDescent="0.3">
      <c r="A26" s="23">
        <v>122</v>
      </c>
      <c r="B26" s="7" t="s">
        <v>2</v>
      </c>
      <c r="C26" s="40">
        <v>12202</v>
      </c>
      <c r="D26" s="40">
        <v>51490</v>
      </c>
      <c r="E26" s="53" t="s">
        <v>11</v>
      </c>
      <c r="F26" s="7" t="s">
        <v>2</v>
      </c>
      <c r="G26" s="7" t="s">
        <v>763</v>
      </c>
      <c r="H26" s="144">
        <v>750</v>
      </c>
      <c r="I26" s="118"/>
      <c r="J26" s="24">
        <f>H26+I26</f>
        <v>750</v>
      </c>
      <c r="K26" s="127">
        <f>IF(H26=0," ",(J26-H26)/H26)</f>
        <v>0</v>
      </c>
      <c r="M26" s="118">
        <v>750</v>
      </c>
      <c r="N26" s="118">
        <v>750</v>
      </c>
      <c r="P26" s="137"/>
      <c r="R26" s="144">
        <v>750</v>
      </c>
      <c r="S26" s="144">
        <v>750</v>
      </c>
      <c r="U26" s="144">
        <v>750</v>
      </c>
      <c r="V26" s="245">
        <v>-750</v>
      </c>
      <c r="W26" s="24">
        <f>U26+V26</f>
        <v>0</v>
      </c>
      <c r="X26" s="127">
        <f>IF(U26=0," ",(W26-U26)/U26)</f>
        <v>-1</v>
      </c>
      <c r="Z26" s="118"/>
      <c r="AA26" s="118"/>
      <c r="AC26" s="137" t="s">
        <v>675</v>
      </c>
      <c r="AE26" s="144"/>
      <c r="AF26" s="271"/>
      <c r="AH26" s="144"/>
      <c r="AI26" s="245"/>
      <c r="AJ26" s="24">
        <f t="shared" si="3"/>
        <v>0</v>
      </c>
      <c r="AK26" s="127" t="str">
        <f t="shared" si="4"/>
        <v xml:space="preserve"> </v>
      </c>
      <c r="AM26" s="118"/>
      <c r="AN26" s="118"/>
      <c r="AP26" s="137"/>
      <c r="AR26" s="144">
        <v>0</v>
      </c>
      <c r="AS26" s="144"/>
      <c r="AU26" s="144">
        <f t="shared" si="5"/>
        <v>0</v>
      </c>
      <c r="AV26" s="245"/>
      <c r="AW26" s="24">
        <f>AU26+AV26</f>
        <v>0</v>
      </c>
      <c r="AX26" s="127" t="str">
        <f t="shared" si="6"/>
        <v xml:space="preserve"> </v>
      </c>
      <c r="AZ26" s="118"/>
      <c r="BA26" s="118"/>
      <c r="BC26" s="137"/>
      <c r="BE26" s="144"/>
      <c r="BF26" s="144"/>
      <c r="BH26" s="144"/>
      <c r="BI26" s="245"/>
      <c r="BJ26" s="24">
        <f>BH26+BI26</f>
        <v>0</v>
      </c>
      <c r="BK26" s="127" t="str">
        <f>IF(BH26=0," ",(BJ26-BH26)/BH26)</f>
        <v xml:space="preserve"> </v>
      </c>
      <c r="BM26" s="118"/>
      <c r="BN26" s="118"/>
      <c r="BP26" s="137"/>
      <c r="BR26" s="118"/>
      <c r="BS26" s="144"/>
      <c r="BU26" s="144"/>
      <c r="BV26" s="245"/>
      <c r="BW26" s="586">
        <f t="shared" si="7"/>
        <v>0</v>
      </c>
      <c r="BX26" s="587" t="str">
        <f>IF(BU26=0," ",(BW26-BU26)/BU26)</f>
        <v xml:space="preserve"> </v>
      </c>
      <c r="BZ26" s="588">
        <v>0</v>
      </c>
      <c r="CA26" s="588">
        <v>0</v>
      </c>
      <c r="CC26" s="767"/>
      <c r="CE26" s="588">
        <v>0</v>
      </c>
      <c r="CF26" s="588"/>
      <c r="CJ26" s="886"/>
      <c r="CK26" s="1"/>
      <c r="CO26" s="16"/>
    </row>
    <row r="27" spans="1:93" s="1" customFormat="1" x14ac:dyDescent="0.3">
      <c r="A27" s="25"/>
      <c r="B27" s="6"/>
      <c r="C27" s="41"/>
      <c r="D27" s="41"/>
      <c r="E27" s="52"/>
      <c r="F27" s="6"/>
      <c r="G27" s="6"/>
      <c r="H27" s="26">
        <f t="shared" ref="H27" si="8">SUM(H20:H26)</f>
        <v>116905</v>
      </c>
      <c r="I27" s="26">
        <f>SUM(I20:I26)</f>
        <v>2073.3999999999996</v>
      </c>
      <c r="J27" s="26">
        <f>SUM(J20:J26)</f>
        <v>118978.4</v>
      </c>
      <c r="K27" s="122">
        <f>IF(H27=0," ",(J27-H27)/H27)</f>
        <v>1.7735768358923862E-2</v>
      </c>
      <c r="M27" s="26">
        <f>SUM(M20:M26)</f>
        <v>118229</v>
      </c>
      <c r="N27" s="26">
        <f>SUM(N20:N26)</f>
        <v>118229</v>
      </c>
      <c r="P27" s="138">
        <f>SUM(P20:P26)</f>
        <v>0</v>
      </c>
      <c r="R27" s="26">
        <f>SUM(R20:R26)</f>
        <v>118229</v>
      </c>
      <c r="S27" s="26">
        <f>SUM(S20:S26)</f>
        <v>116721.61</v>
      </c>
      <c r="U27" s="26">
        <f>SUM(U20:U26)</f>
        <v>118229</v>
      </c>
      <c r="V27" s="26">
        <f>SUM(V20:V26)</f>
        <v>-55017</v>
      </c>
      <c r="W27" s="26">
        <f>SUM(W20:W26)</f>
        <v>63212</v>
      </c>
      <c r="X27" s="122">
        <f>IF(U27=0," ",(W27-U27)/U27)</f>
        <v>-0.46534268242140253</v>
      </c>
      <c r="Z27" s="26">
        <f>SUM(Z20:Z26)</f>
        <v>63212</v>
      </c>
      <c r="AA27" s="26">
        <f>SUM(AA20:AA26)</f>
        <v>63212</v>
      </c>
      <c r="AC27" s="138"/>
      <c r="AE27" s="26">
        <f>SUM(AE20:AE26)</f>
        <v>63212</v>
      </c>
      <c r="AF27" s="200">
        <f>SUM(AF20:AF26)</f>
        <v>64655.51</v>
      </c>
      <c r="AH27" s="26">
        <v>63212</v>
      </c>
      <c r="AI27" s="26">
        <f>SUM(AI20:AI26)</f>
        <v>3673</v>
      </c>
      <c r="AJ27" s="26">
        <f>SUM(AJ20:AJ26)</f>
        <v>66885</v>
      </c>
      <c r="AK27" s="122">
        <f t="shared" si="4"/>
        <v>5.8106055812187557E-2</v>
      </c>
      <c r="AM27" s="26">
        <f>SUM(AM20:AM26)</f>
        <v>69010</v>
      </c>
      <c r="AN27" s="26">
        <f>SUM(AN20:AN26)</f>
        <v>69010</v>
      </c>
      <c r="AP27" s="138"/>
      <c r="AR27" s="26">
        <f>SUM(AR20:AR26)</f>
        <v>69010</v>
      </c>
      <c r="AS27" s="26">
        <f>SUM(AS20:AS26)</f>
        <v>69982.22</v>
      </c>
      <c r="AU27" s="26">
        <f>SUM(AU20:AU26)</f>
        <v>69010</v>
      </c>
      <c r="AV27" s="26">
        <f>SUM(AV20:AV26)</f>
        <v>2855</v>
      </c>
      <c r="AW27" s="26">
        <f>SUM(AW20:AW26)</f>
        <v>71865</v>
      </c>
      <c r="AX27" s="122">
        <f t="shared" si="6"/>
        <v>4.137081582379365E-2</v>
      </c>
      <c r="AZ27" s="26">
        <f>SUM(AZ20:AZ26)</f>
        <v>71585</v>
      </c>
      <c r="BA27" s="26">
        <f>SUM(BA20:BA26)</f>
        <v>70452</v>
      </c>
      <c r="BC27" s="138"/>
      <c r="BE27" s="26">
        <f>SUM(BE20:BE26)</f>
        <v>70452</v>
      </c>
      <c r="BF27" s="26">
        <f>SUM(BF20:BF26)</f>
        <v>72097.7</v>
      </c>
      <c r="BH27" s="26">
        <f>SUM(BH20:BH26)</f>
        <v>70452</v>
      </c>
      <c r="BI27" s="26">
        <f>SUM(BI20:BI26)</f>
        <v>1416</v>
      </c>
      <c r="BJ27" s="26">
        <f>SUM(BJ20:BJ26)</f>
        <v>71868</v>
      </c>
      <c r="BK27" s="122">
        <f>IF(BH27=0," ",(BJ27-BH27)/BH27)</f>
        <v>2.0098790665985352E-2</v>
      </c>
      <c r="BM27" s="26">
        <f>SUM(BM20:BM26)</f>
        <v>71868</v>
      </c>
      <c r="BN27" s="26">
        <f>SUM(BN20:BN26)</f>
        <v>71868</v>
      </c>
      <c r="BP27" s="138"/>
      <c r="BR27" s="26">
        <f>SUM(BR20:BR26)</f>
        <v>71868</v>
      </c>
      <c r="BS27" s="26">
        <f>SUM(BS20:BS26)</f>
        <v>32380.62</v>
      </c>
      <c r="BU27" s="26">
        <f>SUM(BU20:BU26)</f>
        <v>71868</v>
      </c>
      <c r="BV27" s="26">
        <f>SUM(BV20:BV26)</f>
        <v>1121</v>
      </c>
      <c r="BW27" s="589">
        <f>SUM(BW20:BW26)</f>
        <v>72989</v>
      </c>
      <c r="BX27" s="577">
        <f>IF(BU27=0," ",(BW27-BU27)/BU27)</f>
        <v>1.5598040852674347E-2</v>
      </c>
      <c r="BY27" s="573"/>
      <c r="BZ27" s="589">
        <f>SUM(BZ20:BZ26)</f>
        <v>72989</v>
      </c>
      <c r="CA27" s="589">
        <f>SUM(CA20:CA26)</f>
        <v>81402</v>
      </c>
      <c r="CB27" s="573"/>
      <c r="CC27" s="768"/>
      <c r="CD27" s="573"/>
      <c r="CE27" s="589">
        <f>SUM(CE20:CE26)</f>
        <v>81402</v>
      </c>
      <c r="CF27" s="589">
        <f>SUM(CF20:CF26)</f>
        <v>0</v>
      </c>
      <c r="CH27" s="812"/>
      <c r="CI27" s="812"/>
      <c r="CJ27" s="886"/>
      <c r="CO27" s="16"/>
    </row>
    <row r="28" spans="1:93" x14ac:dyDescent="0.3">
      <c r="AS28" s="16"/>
      <c r="CJ28" s="886"/>
      <c r="CK28" s="1"/>
      <c r="CO28" s="16"/>
    </row>
    <row r="29" spans="1:93" s="19" customFormat="1" x14ac:dyDescent="0.3">
      <c r="A29" s="27"/>
      <c r="B29" s="8"/>
      <c r="C29" s="42"/>
      <c r="D29" s="42"/>
      <c r="E29" s="54"/>
      <c r="F29" s="8"/>
      <c r="G29" s="8" t="s">
        <v>1184</v>
      </c>
      <c r="H29" s="28">
        <f t="shared" ref="H29" si="9">H18+H27</f>
        <v>234354</v>
      </c>
      <c r="I29" s="28">
        <f>I18+I27</f>
        <v>16329.4</v>
      </c>
      <c r="J29" s="28">
        <f>J18+J27</f>
        <v>250683.4</v>
      </c>
      <c r="K29" s="123">
        <f>IF(H29=0," ",(J29-H29)/H29)</f>
        <v>6.9678349846812912E-2</v>
      </c>
      <c r="M29" s="28">
        <f>M18+M27</f>
        <v>249934</v>
      </c>
      <c r="N29" s="28">
        <f>N18+N27</f>
        <v>249934</v>
      </c>
      <c r="P29" s="139">
        <f>P18+P27</f>
        <v>0</v>
      </c>
      <c r="R29" s="28">
        <f>R18+R27</f>
        <v>249934</v>
      </c>
      <c r="S29" s="28">
        <f>S18+S27</f>
        <v>248789.76000000001</v>
      </c>
      <c r="U29" s="28">
        <f>U18+U27</f>
        <v>249934</v>
      </c>
      <c r="V29" s="28">
        <f>V18+V27</f>
        <v>14677</v>
      </c>
      <c r="W29" s="28">
        <f>W18+W27</f>
        <v>264611</v>
      </c>
      <c r="X29" s="123">
        <f>IF(U29=0," ",(W29-U29)/U29)</f>
        <v>5.8723503004793266E-2</v>
      </c>
      <c r="Z29" s="28">
        <f>Z18+Z27</f>
        <v>264611</v>
      </c>
      <c r="AA29" s="28">
        <f>AA18+AA27</f>
        <v>264611</v>
      </c>
      <c r="AC29" s="139"/>
      <c r="AE29" s="28">
        <f>AE18+AE27</f>
        <v>264611</v>
      </c>
      <c r="AF29" s="201">
        <f>AF18+AF27</f>
        <v>352749.02</v>
      </c>
      <c r="AH29" s="201">
        <f>AH18+AH27</f>
        <v>264611</v>
      </c>
      <c r="AI29" s="201">
        <f>AI18+AI27</f>
        <v>7412</v>
      </c>
      <c r="AJ29" s="201">
        <f>AJ18+AJ27</f>
        <v>272023</v>
      </c>
      <c r="AK29" s="123">
        <f>IF(AH29=0," ",(AJ29-AH29)/AH29)</f>
        <v>2.8010929250862588E-2</v>
      </c>
      <c r="AM29" s="201">
        <f>AM18+AM27</f>
        <v>274148</v>
      </c>
      <c r="AN29" s="201">
        <f>AN18+AN27</f>
        <v>274148</v>
      </c>
      <c r="AP29" s="139"/>
      <c r="AR29" s="28">
        <f>AR18+AR27</f>
        <v>274148</v>
      </c>
      <c r="AS29" s="28">
        <f>AS18+AS27</f>
        <v>264488.41000000003</v>
      </c>
      <c r="AU29" s="28">
        <f>AU18+AU27</f>
        <v>274148</v>
      </c>
      <c r="AV29" s="28">
        <f>AV18+AV27</f>
        <v>9380</v>
      </c>
      <c r="AW29" s="28">
        <f>AW18+AW27</f>
        <v>283528</v>
      </c>
      <c r="AX29" s="123">
        <f>IF(AU29=0," ",(AW29-AU29)/AU29)</f>
        <v>3.4215095495863546E-2</v>
      </c>
      <c r="AZ29" s="28">
        <f>AZ18+AZ27</f>
        <v>282956</v>
      </c>
      <c r="BA29" s="28">
        <f>BA18+BA27</f>
        <v>280015</v>
      </c>
      <c r="BC29" s="139"/>
      <c r="BE29" s="28">
        <f>BE18+BE27</f>
        <v>280015</v>
      </c>
      <c r="BF29" s="28">
        <f>BF18+BF27</f>
        <v>281586.09999999998</v>
      </c>
      <c r="BG29" s="9"/>
      <c r="BH29" s="28">
        <f>BH18+BH27</f>
        <v>280015</v>
      </c>
      <c r="BI29" s="28">
        <f>BI18+BI27</f>
        <v>5536</v>
      </c>
      <c r="BJ29" s="28">
        <f>BJ18+BJ27</f>
        <v>285551</v>
      </c>
      <c r="BK29" s="123">
        <f>IF(BH29=0," ",(BJ29-BH29)/BH29)</f>
        <v>1.9770369444494045E-2</v>
      </c>
      <c r="BM29" s="28">
        <f>BM18+BM27</f>
        <v>285551</v>
      </c>
      <c r="BN29" s="28">
        <f>BN18+BN27</f>
        <v>285551</v>
      </c>
      <c r="BP29" s="139"/>
      <c r="BR29" s="28">
        <f>BR18+BR27</f>
        <v>285551</v>
      </c>
      <c r="BS29" s="28">
        <f>BS18+BS27</f>
        <v>128736.06</v>
      </c>
      <c r="BT29" s="9"/>
      <c r="BU29" s="28">
        <f>BU18+BU27</f>
        <v>285551</v>
      </c>
      <c r="BV29" s="532">
        <f>BV18+BV27</f>
        <v>1833</v>
      </c>
      <c r="BW29" s="591">
        <f>BW18+BW27</f>
        <v>287384</v>
      </c>
      <c r="BX29" s="579">
        <f>IF(BU29=0," ",(BW29-BU29)/BU29)</f>
        <v>6.4191685548290849E-3</v>
      </c>
      <c r="BY29" s="580"/>
      <c r="BZ29" s="591">
        <f>BZ18+BZ27</f>
        <v>287384</v>
      </c>
      <c r="CA29" s="591">
        <f>CA18+CA27</f>
        <v>309137</v>
      </c>
      <c r="CB29" s="580"/>
      <c r="CC29" s="769"/>
      <c r="CD29" s="580"/>
      <c r="CE29" s="591">
        <f>CE18+CE27</f>
        <v>309137</v>
      </c>
      <c r="CF29" s="591">
        <f>CF18+CF27</f>
        <v>0</v>
      </c>
      <c r="CG29" s="9"/>
      <c r="CH29" s="815"/>
      <c r="CI29" s="815"/>
      <c r="CJ29" s="886"/>
      <c r="CK29" s="1"/>
      <c r="CO29" s="16"/>
    </row>
    <row r="30" spans="1:93" x14ac:dyDescent="0.3">
      <c r="R30" s="26"/>
      <c r="AS30" s="16"/>
      <c r="CJ30" s="886"/>
      <c r="CK30" s="1"/>
      <c r="CO30" s="16"/>
    </row>
    <row r="31" spans="1:93" x14ac:dyDescent="0.3">
      <c r="A31" s="11">
        <v>122</v>
      </c>
      <c r="B31" s="3" t="s">
        <v>2</v>
      </c>
      <c r="C31" s="37">
        <v>12205</v>
      </c>
      <c r="D31" s="37">
        <v>53200</v>
      </c>
      <c r="E31" s="49" t="s">
        <v>118</v>
      </c>
      <c r="F31" s="3" t="s">
        <v>2</v>
      </c>
      <c r="G31" s="3" t="s">
        <v>1039</v>
      </c>
      <c r="H31" s="26">
        <v>4491</v>
      </c>
      <c r="I31" s="117">
        <v>89</v>
      </c>
      <c r="J31" s="16">
        <f>H31+I31</f>
        <v>4580</v>
      </c>
      <c r="K31" s="122">
        <f>IF(H31=0," ",(J31-H31)/H31)</f>
        <v>1.9817412602983746E-2</v>
      </c>
      <c r="M31" s="117">
        <v>4580</v>
      </c>
      <c r="N31" s="117">
        <v>4580</v>
      </c>
      <c r="P31" s="259"/>
      <c r="R31" s="26">
        <v>4580</v>
      </c>
      <c r="S31" s="26">
        <v>5189.6400000000003</v>
      </c>
      <c r="U31" s="26">
        <v>4580</v>
      </c>
      <c r="V31" s="244">
        <v>0</v>
      </c>
      <c r="W31" s="16">
        <f>U31+V31</f>
        <v>4580</v>
      </c>
      <c r="X31" s="122">
        <f>IF(U31=0," ",(W31-U31)/U31)</f>
        <v>0</v>
      </c>
      <c r="Z31" s="117">
        <v>4580</v>
      </c>
      <c r="AA31" s="117">
        <v>4580</v>
      </c>
      <c r="AC31" s="259"/>
      <c r="AE31" s="26">
        <v>4580</v>
      </c>
      <c r="AF31" s="200">
        <v>5185.6000000000004</v>
      </c>
      <c r="AH31" s="26">
        <v>4580</v>
      </c>
      <c r="AI31" s="244"/>
      <c r="AJ31" s="16">
        <f>AH31+AI31</f>
        <v>4580</v>
      </c>
      <c r="AK31" s="122">
        <f>IF(AH31=0," ",(AJ31-AH31)/AH31)</f>
        <v>0</v>
      </c>
      <c r="AM31" s="117">
        <v>4580</v>
      </c>
      <c r="AN31" s="117">
        <v>4580</v>
      </c>
      <c r="AP31" s="259"/>
      <c r="AR31" s="26">
        <v>4580</v>
      </c>
      <c r="AS31" s="26">
        <v>1412.79</v>
      </c>
      <c r="AU31" s="26">
        <f t="shared" ref="AU31:AU38" si="10">AR31</f>
        <v>4580</v>
      </c>
      <c r="AV31" s="244">
        <v>550</v>
      </c>
      <c r="AW31" s="16">
        <f>AU31+AV31</f>
        <v>5130</v>
      </c>
      <c r="AX31" s="122">
        <f>IF(AU31=0," ",(AW31-AU31)/AU31)</f>
        <v>0.12008733624454149</v>
      </c>
      <c r="AZ31" s="117">
        <v>5130</v>
      </c>
      <c r="BA31" s="117">
        <v>5130</v>
      </c>
      <c r="BC31" s="259"/>
      <c r="BE31" s="26">
        <v>5130</v>
      </c>
      <c r="BF31" s="26">
        <v>50</v>
      </c>
      <c r="BH31" s="26">
        <v>5130</v>
      </c>
      <c r="BI31" s="244"/>
      <c r="BJ31" s="16">
        <f>BH31+BI31</f>
        <v>5130</v>
      </c>
      <c r="BK31" s="122">
        <f>IF(BH31=0," ",(BJ31-BH31)/BH31)</f>
        <v>0</v>
      </c>
      <c r="BM31" s="117">
        <v>5130</v>
      </c>
      <c r="BN31" s="117">
        <v>5130</v>
      </c>
      <c r="BP31" s="259"/>
      <c r="BR31" s="117">
        <v>5130</v>
      </c>
      <c r="BS31" s="26">
        <v>40</v>
      </c>
      <c r="BU31" s="26">
        <v>5130</v>
      </c>
      <c r="BV31" s="244">
        <v>-500</v>
      </c>
      <c r="BW31" s="576">
        <f>BU31+BV31</f>
        <v>4630</v>
      </c>
      <c r="BX31" s="577">
        <f>IF(BU31=0," ",(BW31-BU31)/BU31)</f>
        <v>-9.7465886939571145E-2</v>
      </c>
      <c r="BZ31" s="166">
        <v>4630</v>
      </c>
      <c r="CA31" s="166">
        <v>4630</v>
      </c>
      <c r="CC31" s="753"/>
      <c r="CE31" s="166">
        <v>4630</v>
      </c>
      <c r="CF31" s="166"/>
      <c r="CJ31" s="886"/>
      <c r="CK31" s="1"/>
      <c r="CO31" s="16"/>
    </row>
    <row r="32" spans="1:93" x14ac:dyDescent="0.3">
      <c r="A32" s="11">
        <v>122</v>
      </c>
      <c r="B32" s="3" t="s">
        <v>2</v>
      </c>
      <c r="C32" s="37">
        <v>12205</v>
      </c>
      <c r="D32" s="37">
        <v>53400</v>
      </c>
      <c r="E32" s="49" t="s">
        <v>118</v>
      </c>
      <c r="F32" s="3" t="s">
        <v>2</v>
      </c>
      <c r="G32" s="3" t="s">
        <v>69</v>
      </c>
      <c r="H32" s="26">
        <v>23925</v>
      </c>
      <c r="I32" s="117">
        <v>-23925</v>
      </c>
      <c r="J32" s="16">
        <f t="shared" ref="J32:J38" si="11">H32+I32</f>
        <v>0</v>
      </c>
      <c r="K32" s="122">
        <f t="shared" ref="K32:K37" si="12">IF(H32=0," ",(J32-H32)/H32)</f>
        <v>-1</v>
      </c>
      <c r="M32" s="117">
        <v>0</v>
      </c>
      <c r="N32" s="117">
        <v>0</v>
      </c>
      <c r="P32" s="259" t="s">
        <v>554</v>
      </c>
      <c r="R32" s="26">
        <v>0</v>
      </c>
      <c r="S32" s="26">
        <v>560.89</v>
      </c>
      <c r="U32" s="26">
        <v>0</v>
      </c>
      <c r="V32" s="244">
        <v>0</v>
      </c>
      <c r="W32" s="16">
        <f t="shared" ref="W32:W38" si="13">U32+V32</f>
        <v>0</v>
      </c>
      <c r="X32" s="122" t="str">
        <f>IF(U32=0," ",(W32-U32)/U32)</f>
        <v xml:space="preserve"> </v>
      </c>
      <c r="Z32" s="117"/>
      <c r="AA32" s="117"/>
      <c r="AC32" s="259"/>
      <c r="AE32" s="26"/>
      <c r="AF32" s="200">
        <v>0</v>
      </c>
      <c r="AH32" s="26"/>
      <c r="AI32" s="244"/>
      <c r="AJ32" s="16">
        <f t="shared" ref="AJ32:AJ38" si="14">AH32+AI32</f>
        <v>0</v>
      </c>
      <c r="AK32" s="122" t="str">
        <f>IF(AH32=0," ",(AJ32-AH32)/AH32)</f>
        <v xml:space="preserve"> </v>
      </c>
      <c r="AM32" s="117">
        <v>0</v>
      </c>
      <c r="AN32" s="117">
        <v>0</v>
      </c>
      <c r="AP32" s="259"/>
      <c r="AR32" s="26">
        <v>0</v>
      </c>
      <c r="AS32" s="26"/>
      <c r="AU32" s="26">
        <f t="shared" si="10"/>
        <v>0</v>
      </c>
      <c r="AV32" s="244"/>
      <c r="AW32" s="16">
        <f t="shared" ref="AW32:AW38" si="15">AU32+AV32</f>
        <v>0</v>
      </c>
      <c r="AX32" s="122" t="str">
        <f t="shared" ref="AX32:AX39" si="16">IF(AU32=0," ",(AW32-AU32)/AU32)</f>
        <v xml:space="preserve"> </v>
      </c>
      <c r="AZ32" s="117"/>
      <c r="BA32" s="117"/>
      <c r="BC32" s="259"/>
      <c r="BE32" s="26"/>
      <c r="BF32" s="26"/>
      <c r="BH32" s="26"/>
      <c r="BI32" s="244"/>
      <c r="BJ32" s="16">
        <f t="shared" ref="BJ32:BJ38" si="17">BH32+BI32</f>
        <v>0</v>
      </c>
      <c r="BK32" s="122" t="str">
        <f t="shared" ref="BK32:BK39" si="18">IF(BH32=0," ",(BJ32-BH32)/BH32)</f>
        <v xml:space="preserve"> </v>
      </c>
      <c r="BM32" s="117"/>
      <c r="BN32" s="117"/>
      <c r="BP32" s="259"/>
      <c r="BR32" s="117"/>
      <c r="BS32" s="26"/>
      <c r="BU32" s="26"/>
      <c r="BV32" s="244"/>
      <c r="BW32" s="576">
        <f t="shared" ref="BW32:BW38" si="19">BU32+BV32</f>
        <v>0</v>
      </c>
      <c r="BX32" s="577" t="str">
        <f t="shared" ref="BX32:BX39" si="20">IF(BU32=0," ",(BW32-BU32)/BU32)</f>
        <v xml:space="preserve"> </v>
      </c>
      <c r="BZ32" s="166">
        <v>0</v>
      </c>
      <c r="CA32" s="166">
        <v>0</v>
      </c>
      <c r="CC32" s="753"/>
      <c r="CE32" s="166">
        <v>0</v>
      </c>
      <c r="CF32" s="166"/>
      <c r="CJ32" s="886"/>
      <c r="CK32" s="1"/>
      <c r="CO32" s="16"/>
    </row>
    <row r="33" spans="1:93" x14ac:dyDescent="0.3">
      <c r="A33" s="11">
        <v>122</v>
      </c>
      <c r="B33" s="3" t="s">
        <v>2</v>
      </c>
      <c r="C33" s="37">
        <v>12205</v>
      </c>
      <c r="D33" s="37">
        <v>53422</v>
      </c>
      <c r="E33" s="49" t="s">
        <v>118</v>
      </c>
      <c r="F33" s="3" t="s">
        <v>2</v>
      </c>
      <c r="G33" s="3" t="s">
        <v>765</v>
      </c>
      <c r="H33" s="26">
        <v>4721</v>
      </c>
      <c r="I33" s="117"/>
      <c r="J33" s="16">
        <f t="shared" si="11"/>
        <v>4721</v>
      </c>
      <c r="K33" s="122">
        <f t="shared" si="12"/>
        <v>0</v>
      </c>
      <c r="M33" s="117">
        <v>4721</v>
      </c>
      <c r="N33" s="117">
        <v>4721</v>
      </c>
      <c r="P33" s="259"/>
      <c r="R33" s="26">
        <v>4721</v>
      </c>
      <c r="S33" s="26">
        <v>2734.15</v>
      </c>
      <c r="U33" s="26">
        <v>4721</v>
      </c>
      <c r="V33" s="244">
        <v>0</v>
      </c>
      <c r="W33" s="16">
        <f t="shared" si="13"/>
        <v>4721</v>
      </c>
      <c r="X33" s="122">
        <f t="shared" ref="X33:X38" si="21">IF(U33=0," ",(W33-U33)/U33)</f>
        <v>0</v>
      </c>
      <c r="Z33" s="117">
        <v>4721</v>
      </c>
      <c r="AA33" s="117">
        <v>4721</v>
      </c>
      <c r="AC33" s="259"/>
      <c r="AE33" s="26">
        <v>4721</v>
      </c>
      <c r="AF33" s="200">
        <v>3016.34</v>
      </c>
      <c r="AH33" s="26">
        <v>4721</v>
      </c>
      <c r="AI33" s="244"/>
      <c r="AJ33" s="16">
        <f t="shared" si="14"/>
        <v>4721</v>
      </c>
      <c r="AK33" s="122">
        <f>IF(AH33=0," ",(AJ33-AH33)/AH33)</f>
        <v>0</v>
      </c>
      <c r="AM33" s="117">
        <v>4721</v>
      </c>
      <c r="AN33" s="117">
        <v>4721</v>
      </c>
      <c r="AP33" s="259"/>
      <c r="AR33" s="26">
        <v>4721</v>
      </c>
      <c r="AS33" s="26">
        <v>3068.85</v>
      </c>
      <c r="AU33" s="26">
        <f t="shared" si="10"/>
        <v>4721</v>
      </c>
      <c r="AV33" s="244"/>
      <c r="AW33" s="16">
        <f t="shared" si="15"/>
        <v>4721</v>
      </c>
      <c r="AX33" s="122">
        <f t="shared" si="16"/>
        <v>0</v>
      </c>
      <c r="AZ33" s="117">
        <v>4721</v>
      </c>
      <c r="BA33" s="117">
        <v>4721</v>
      </c>
      <c r="BC33" s="259"/>
      <c r="BE33" s="26">
        <v>4721</v>
      </c>
      <c r="BF33" s="26">
        <v>3242.58</v>
      </c>
      <c r="BH33" s="26">
        <v>4721</v>
      </c>
      <c r="BI33" s="403">
        <v>-1000</v>
      </c>
      <c r="BJ33" s="16">
        <f t="shared" si="17"/>
        <v>3721</v>
      </c>
      <c r="BK33" s="122">
        <f t="shared" si="18"/>
        <v>-0.21181952976064394</v>
      </c>
      <c r="BM33" s="117">
        <v>3721</v>
      </c>
      <c r="BN33" s="117">
        <v>3721</v>
      </c>
      <c r="BP33" s="399" t="s">
        <v>1120</v>
      </c>
      <c r="BR33" s="117">
        <v>3721</v>
      </c>
      <c r="BS33" s="26"/>
      <c r="BU33" s="26">
        <v>3721</v>
      </c>
      <c r="BV33" s="244"/>
      <c r="BW33" s="576">
        <f t="shared" si="19"/>
        <v>3721</v>
      </c>
      <c r="BX33" s="577">
        <f t="shared" si="20"/>
        <v>0</v>
      </c>
      <c r="BZ33" s="166">
        <v>3721</v>
      </c>
      <c r="CA33" s="166">
        <v>3721</v>
      </c>
      <c r="CC33" s="754"/>
      <c r="CE33" s="166">
        <v>3721</v>
      </c>
      <c r="CF33" s="166"/>
      <c r="CJ33" s="886"/>
      <c r="CK33" s="1"/>
      <c r="CO33" s="16"/>
    </row>
    <row r="34" spans="1:93" x14ac:dyDescent="0.3">
      <c r="A34" s="11">
        <v>122</v>
      </c>
      <c r="B34" s="3" t="s">
        <v>2</v>
      </c>
      <c r="C34" s="37">
        <v>12205</v>
      </c>
      <c r="D34" s="37">
        <v>53430</v>
      </c>
      <c r="E34" s="49" t="s">
        <v>118</v>
      </c>
      <c r="F34" s="3" t="s">
        <v>2</v>
      </c>
      <c r="G34" s="3" t="s">
        <v>18</v>
      </c>
      <c r="H34" s="26">
        <v>710</v>
      </c>
      <c r="I34" s="117"/>
      <c r="J34" s="16">
        <f t="shared" si="11"/>
        <v>710</v>
      </c>
      <c r="K34" s="122">
        <f t="shared" si="12"/>
        <v>0</v>
      </c>
      <c r="M34" s="117">
        <v>710</v>
      </c>
      <c r="N34" s="117">
        <v>710</v>
      </c>
      <c r="P34" s="259"/>
      <c r="R34" s="26">
        <v>710</v>
      </c>
      <c r="S34" s="26">
        <v>439.59</v>
      </c>
      <c r="U34" s="26">
        <v>710</v>
      </c>
      <c r="V34" s="244">
        <v>0</v>
      </c>
      <c r="W34" s="16">
        <f t="shared" si="13"/>
        <v>710</v>
      </c>
      <c r="X34" s="122">
        <f t="shared" si="21"/>
        <v>0</v>
      </c>
      <c r="Z34" s="117">
        <v>710</v>
      </c>
      <c r="AA34" s="117">
        <v>710</v>
      </c>
      <c r="AC34" s="259"/>
      <c r="AE34" s="26">
        <v>710</v>
      </c>
      <c r="AF34" s="200">
        <v>141.05000000000001</v>
      </c>
      <c r="AH34" s="26">
        <v>710</v>
      </c>
      <c r="AI34" s="244"/>
      <c r="AJ34" s="16">
        <f t="shared" si="14"/>
        <v>710</v>
      </c>
      <c r="AK34" s="122">
        <f>IF(AH34=0," ",(AJ34-AH34)/AH34)</f>
        <v>0</v>
      </c>
      <c r="AM34" s="117">
        <v>710</v>
      </c>
      <c r="AN34" s="117">
        <v>710</v>
      </c>
      <c r="AP34" s="259"/>
      <c r="AR34" s="26">
        <v>710</v>
      </c>
      <c r="AS34" s="26">
        <v>647.14</v>
      </c>
      <c r="AU34" s="26">
        <f t="shared" si="10"/>
        <v>710</v>
      </c>
      <c r="AV34" s="244"/>
      <c r="AW34" s="16">
        <f t="shared" si="15"/>
        <v>710</v>
      </c>
      <c r="AX34" s="122">
        <f t="shared" si="16"/>
        <v>0</v>
      </c>
      <c r="AZ34" s="117">
        <v>710</v>
      </c>
      <c r="BA34" s="117">
        <v>710</v>
      </c>
      <c r="BC34" s="259"/>
      <c r="BE34" s="26">
        <v>710</v>
      </c>
      <c r="BF34" s="26">
        <v>728.79</v>
      </c>
      <c r="BH34" s="26">
        <v>710</v>
      </c>
      <c r="BI34" s="244"/>
      <c r="BJ34" s="16">
        <f t="shared" si="17"/>
        <v>710</v>
      </c>
      <c r="BK34" s="122">
        <f t="shared" si="18"/>
        <v>0</v>
      </c>
      <c r="BM34" s="117">
        <v>710</v>
      </c>
      <c r="BN34" s="117">
        <v>710</v>
      </c>
      <c r="BP34" s="259"/>
      <c r="BR34" s="117">
        <v>710</v>
      </c>
      <c r="BS34" s="26">
        <v>235.81</v>
      </c>
      <c r="BU34" s="26">
        <v>710</v>
      </c>
      <c r="BV34" s="244"/>
      <c r="BW34" s="576">
        <f t="shared" si="19"/>
        <v>710</v>
      </c>
      <c r="BX34" s="577">
        <f t="shared" si="20"/>
        <v>0</v>
      </c>
      <c r="BZ34" s="166">
        <v>710</v>
      </c>
      <c r="CA34" s="166">
        <v>710</v>
      </c>
      <c r="CC34" s="753"/>
      <c r="CE34" s="166">
        <v>710</v>
      </c>
      <c r="CF34" s="166"/>
      <c r="CJ34" s="886"/>
      <c r="CK34" s="1"/>
      <c r="CO34" s="16"/>
    </row>
    <row r="35" spans="1:93" x14ac:dyDescent="0.3">
      <c r="A35" s="11">
        <v>122</v>
      </c>
      <c r="B35" s="3" t="s">
        <v>2</v>
      </c>
      <c r="C35" s="37">
        <v>12205</v>
      </c>
      <c r="D35" s="37">
        <v>53450</v>
      </c>
      <c r="E35" s="49" t="s">
        <v>118</v>
      </c>
      <c r="F35" s="3" t="s">
        <v>2</v>
      </c>
      <c r="G35" s="3" t="s">
        <v>19</v>
      </c>
      <c r="H35" s="26">
        <v>1000</v>
      </c>
      <c r="I35" s="117"/>
      <c r="J35" s="16">
        <f t="shared" si="11"/>
        <v>1000</v>
      </c>
      <c r="K35" s="122">
        <f t="shared" si="12"/>
        <v>0</v>
      </c>
      <c r="M35" s="117">
        <v>1000</v>
      </c>
      <c r="N35" s="117">
        <v>1000</v>
      </c>
      <c r="P35" s="259"/>
      <c r="R35" s="26">
        <v>1000</v>
      </c>
      <c r="S35" s="26">
        <v>990.25</v>
      </c>
      <c r="U35" s="26">
        <v>1000</v>
      </c>
      <c r="V35" s="244">
        <v>0</v>
      </c>
      <c r="W35" s="16">
        <f t="shared" si="13"/>
        <v>1000</v>
      </c>
      <c r="X35" s="122">
        <f t="shared" si="21"/>
        <v>0</v>
      </c>
      <c r="Z35" s="117">
        <v>1000</v>
      </c>
      <c r="AA35" s="117">
        <v>1000</v>
      </c>
      <c r="AC35" s="259"/>
      <c r="AE35" s="26">
        <v>1000</v>
      </c>
      <c r="AF35" s="200">
        <v>410.81</v>
      </c>
      <c r="AH35" s="26">
        <v>1000</v>
      </c>
      <c r="AI35" s="244"/>
      <c r="AJ35" s="16">
        <f t="shared" si="14"/>
        <v>1000</v>
      </c>
      <c r="AK35" s="122">
        <f>IF(AH35=0," ",(AJ35-AH35)/AH35)</f>
        <v>0</v>
      </c>
      <c r="AM35" s="117">
        <v>1000</v>
      </c>
      <c r="AN35" s="117">
        <v>1000</v>
      </c>
      <c r="AP35" s="259"/>
      <c r="AR35" s="26">
        <v>1000</v>
      </c>
      <c r="AS35" s="26">
        <v>1835.26</v>
      </c>
      <c r="AU35" s="26">
        <f t="shared" si="10"/>
        <v>1000</v>
      </c>
      <c r="AV35" s="244"/>
      <c r="AW35" s="16">
        <f t="shared" si="15"/>
        <v>1000</v>
      </c>
      <c r="AX35" s="122">
        <f t="shared" si="16"/>
        <v>0</v>
      </c>
      <c r="AZ35" s="117">
        <v>1000</v>
      </c>
      <c r="BA35" s="117">
        <v>1000</v>
      </c>
      <c r="BC35" s="259"/>
      <c r="BE35" s="26">
        <v>1000</v>
      </c>
      <c r="BF35" s="26">
        <v>2178.4699999999998</v>
      </c>
      <c r="BH35" s="26">
        <v>1000</v>
      </c>
      <c r="BI35" s="244"/>
      <c r="BJ35" s="16">
        <f t="shared" si="17"/>
        <v>1000</v>
      </c>
      <c r="BK35" s="122">
        <f t="shared" si="18"/>
        <v>0</v>
      </c>
      <c r="BM35" s="117">
        <v>1000</v>
      </c>
      <c r="BN35" s="117">
        <v>1000</v>
      </c>
      <c r="BP35" s="259"/>
      <c r="BR35" s="117">
        <v>1000</v>
      </c>
      <c r="BS35" s="26">
        <v>930.6</v>
      </c>
      <c r="BU35" s="26">
        <v>1000</v>
      </c>
      <c r="BV35" s="244">
        <v>500</v>
      </c>
      <c r="BW35" s="576">
        <f t="shared" si="19"/>
        <v>1500</v>
      </c>
      <c r="BX35" s="577">
        <f t="shared" si="20"/>
        <v>0.5</v>
      </c>
      <c r="BZ35" s="166">
        <v>1500</v>
      </c>
      <c r="CA35" s="166">
        <v>1500</v>
      </c>
      <c r="CC35" s="753"/>
      <c r="CE35" s="166">
        <v>1500</v>
      </c>
      <c r="CF35" s="166"/>
      <c r="CJ35" s="886"/>
      <c r="CK35" s="1"/>
      <c r="CO35" s="16"/>
    </row>
    <row r="36" spans="1:93" x14ac:dyDescent="0.3">
      <c r="A36" s="11">
        <v>122</v>
      </c>
      <c r="C36" s="37">
        <v>12205</v>
      </c>
      <c r="D36" s="37">
        <v>55800</v>
      </c>
      <c r="E36" s="49" t="s">
        <v>118</v>
      </c>
      <c r="G36" s="3" t="s">
        <v>1037</v>
      </c>
      <c r="H36" s="26"/>
      <c r="I36" s="117"/>
      <c r="M36" s="117"/>
      <c r="N36" s="117"/>
      <c r="P36" s="259"/>
      <c r="R36" s="26"/>
      <c r="S36" s="26">
        <v>0</v>
      </c>
      <c r="U36" s="26"/>
      <c r="V36" s="244"/>
      <c r="Z36" s="117"/>
      <c r="AA36" s="117"/>
      <c r="AC36" s="259"/>
      <c r="AE36" s="26"/>
      <c r="AF36" s="200">
        <v>0</v>
      </c>
      <c r="AH36" s="26"/>
      <c r="AI36" s="244"/>
      <c r="AM36" s="117"/>
      <c r="AN36" s="117"/>
      <c r="AP36" s="259"/>
      <c r="AR36" s="26">
        <v>0</v>
      </c>
      <c r="AS36" s="26">
        <v>282.87</v>
      </c>
      <c r="AU36" s="26">
        <f t="shared" si="10"/>
        <v>0</v>
      </c>
      <c r="AV36" s="244"/>
      <c r="AW36" s="16">
        <f t="shared" si="15"/>
        <v>0</v>
      </c>
      <c r="AX36" s="122" t="str">
        <f t="shared" si="16"/>
        <v xml:space="preserve"> </v>
      </c>
      <c r="AZ36" s="117"/>
      <c r="BA36" s="117"/>
      <c r="BC36" s="259"/>
      <c r="BE36" s="26"/>
      <c r="BF36" s="26"/>
      <c r="BH36" s="26"/>
      <c r="BI36" s="244"/>
      <c r="BJ36" s="16">
        <f t="shared" si="17"/>
        <v>0</v>
      </c>
      <c r="BK36" s="122" t="str">
        <f t="shared" si="18"/>
        <v xml:space="preserve"> </v>
      </c>
      <c r="BM36" s="117"/>
      <c r="BN36" s="117"/>
      <c r="BP36" s="259"/>
      <c r="BR36" s="117"/>
      <c r="BS36" s="26"/>
      <c r="BU36" s="26"/>
      <c r="BV36" s="244"/>
      <c r="BW36" s="576">
        <f t="shared" si="19"/>
        <v>0</v>
      </c>
      <c r="BX36" s="577" t="str">
        <f t="shared" si="20"/>
        <v xml:space="preserve"> </v>
      </c>
      <c r="BZ36" s="166">
        <v>0</v>
      </c>
      <c r="CA36" s="166">
        <v>0</v>
      </c>
      <c r="CC36" s="753"/>
      <c r="CE36" s="166">
        <v>0</v>
      </c>
      <c r="CF36" s="166"/>
      <c r="CJ36" s="886"/>
      <c r="CK36" s="1"/>
      <c r="CO36" s="16"/>
    </row>
    <row r="37" spans="1:93" x14ac:dyDescent="0.3">
      <c r="A37" s="11">
        <v>122</v>
      </c>
      <c r="B37" s="3" t="s">
        <v>2</v>
      </c>
      <c r="C37" s="37">
        <v>12205</v>
      </c>
      <c r="D37" s="37">
        <v>55850</v>
      </c>
      <c r="E37" s="49" t="s">
        <v>118</v>
      </c>
      <c r="F37" s="3" t="s">
        <v>2</v>
      </c>
      <c r="G37" s="3" t="s">
        <v>20</v>
      </c>
      <c r="H37" s="26">
        <v>40</v>
      </c>
      <c r="I37" s="117"/>
      <c r="J37" s="16">
        <f t="shared" si="11"/>
        <v>40</v>
      </c>
      <c r="K37" s="122">
        <f t="shared" si="12"/>
        <v>0</v>
      </c>
      <c r="M37" s="117">
        <v>40</v>
      </c>
      <c r="N37" s="117">
        <v>40</v>
      </c>
      <c r="P37" s="259"/>
      <c r="R37" s="26">
        <v>40</v>
      </c>
      <c r="S37" s="26">
        <v>215.56</v>
      </c>
      <c r="U37" s="26">
        <v>40</v>
      </c>
      <c r="V37" s="244">
        <v>0</v>
      </c>
      <c r="W37" s="16">
        <f t="shared" si="13"/>
        <v>40</v>
      </c>
      <c r="X37" s="122">
        <f t="shared" si="21"/>
        <v>0</v>
      </c>
      <c r="Z37" s="117">
        <v>40</v>
      </c>
      <c r="AA37" s="117">
        <v>40</v>
      </c>
      <c r="AC37" s="259"/>
      <c r="AE37" s="26">
        <v>40</v>
      </c>
      <c r="AF37" s="200">
        <v>49.5</v>
      </c>
      <c r="AH37" s="26">
        <v>40</v>
      </c>
      <c r="AI37" s="244"/>
      <c r="AJ37" s="16">
        <f t="shared" si="14"/>
        <v>40</v>
      </c>
      <c r="AK37" s="122">
        <f>IF(AH37=0," ",(AJ37-AH37)/AH37)</f>
        <v>0</v>
      </c>
      <c r="AM37" s="117">
        <v>40</v>
      </c>
      <c r="AN37" s="117">
        <v>40</v>
      </c>
      <c r="AP37" s="259"/>
      <c r="AR37" s="26">
        <v>40</v>
      </c>
      <c r="AS37" s="26"/>
      <c r="AU37" s="26">
        <f t="shared" si="10"/>
        <v>40</v>
      </c>
      <c r="AV37" s="244">
        <v>-40</v>
      </c>
      <c r="AW37" s="16">
        <f t="shared" si="15"/>
        <v>0</v>
      </c>
      <c r="AX37" s="122">
        <f t="shared" si="16"/>
        <v>-1</v>
      </c>
      <c r="AZ37" s="117"/>
      <c r="BA37" s="117"/>
      <c r="BC37" s="266"/>
      <c r="BE37" s="26"/>
      <c r="BF37" s="26"/>
      <c r="BH37" s="26"/>
      <c r="BI37" s="244"/>
      <c r="BJ37" s="16">
        <f t="shared" si="17"/>
        <v>0</v>
      </c>
      <c r="BK37" s="122" t="str">
        <f t="shared" si="18"/>
        <v xml:space="preserve"> </v>
      </c>
      <c r="BM37" s="117"/>
      <c r="BN37" s="117"/>
      <c r="BP37" s="259"/>
      <c r="BR37" s="117"/>
      <c r="BS37" s="26"/>
      <c r="BU37" s="26"/>
      <c r="BV37" s="244"/>
      <c r="BW37" s="576">
        <f t="shared" si="19"/>
        <v>0</v>
      </c>
      <c r="BX37" s="577" t="str">
        <f t="shared" si="20"/>
        <v xml:space="preserve"> </v>
      </c>
      <c r="BZ37" s="166">
        <v>0</v>
      </c>
      <c r="CA37" s="166">
        <v>0</v>
      </c>
      <c r="CC37" s="753"/>
      <c r="CE37" s="166">
        <v>0</v>
      </c>
      <c r="CF37" s="166"/>
      <c r="CJ37" s="886"/>
      <c r="CK37" s="1"/>
      <c r="CO37" s="16"/>
    </row>
    <row r="38" spans="1:93" x14ac:dyDescent="0.3">
      <c r="A38" s="11">
        <v>122</v>
      </c>
      <c r="B38" s="3" t="s">
        <v>2</v>
      </c>
      <c r="C38" s="37">
        <v>12205</v>
      </c>
      <c r="D38" s="37">
        <v>57300</v>
      </c>
      <c r="E38" s="49" t="s">
        <v>118</v>
      </c>
      <c r="F38" s="3" t="s">
        <v>2</v>
      </c>
      <c r="G38" s="3" t="s">
        <v>1027</v>
      </c>
      <c r="H38" s="26">
        <v>3000</v>
      </c>
      <c r="I38" s="117">
        <v>60</v>
      </c>
      <c r="J38" s="16">
        <f t="shared" si="11"/>
        <v>3060</v>
      </c>
      <c r="K38" s="122">
        <v>8.6091860014635615E-3</v>
      </c>
      <c r="M38" s="117">
        <v>3060</v>
      </c>
      <c r="N38" s="117">
        <v>3060</v>
      </c>
      <c r="P38" s="259"/>
      <c r="R38" s="26">
        <v>3060</v>
      </c>
      <c r="S38" s="26">
        <v>3571.73</v>
      </c>
      <c r="U38" s="26">
        <v>3060</v>
      </c>
      <c r="V38" s="244">
        <v>0</v>
      </c>
      <c r="W38" s="16">
        <f t="shared" si="13"/>
        <v>3060</v>
      </c>
      <c r="X38" s="122">
        <f t="shared" si="21"/>
        <v>0</v>
      </c>
      <c r="Z38" s="117">
        <v>3060</v>
      </c>
      <c r="AA38" s="117">
        <v>3060</v>
      </c>
      <c r="AC38" s="259"/>
      <c r="AE38" s="26">
        <v>3060</v>
      </c>
      <c r="AF38" s="200">
        <v>3797.09</v>
      </c>
      <c r="AH38" s="26">
        <v>3060</v>
      </c>
      <c r="AI38" s="244"/>
      <c r="AJ38" s="16">
        <f t="shared" si="14"/>
        <v>3060</v>
      </c>
      <c r="AK38" s="122">
        <f>IF(AH38=0," ",(AJ38-AH38)/AH38)</f>
        <v>0</v>
      </c>
      <c r="AM38" s="117">
        <v>3060</v>
      </c>
      <c r="AN38" s="117">
        <v>3060</v>
      </c>
      <c r="AP38" s="259"/>
      <c r="AR38" s="26">
        <v>3060</v>
      </c>
      <c r="AS38" s="26">
        <v>3250</v>
      </c>
      <c r="AU38" s="26">
        <f t="shared" si="10"/>
        <v>3060</v>
      </c>
      <c r="AV38" s="244">
        <v>-510</v>
      </c>
      <c r="AW38" s="16">
        <f t="shared" si="15"/>
        <v>2550</v>
      </c>
      <c r="AX38" s="122">
        <f t="shared" si="16"/>
        <v>-0.16666666666666666</v>
      </c>
      <c r="AZ38" s="117">
        <v>2550</v>
      </c>
      <c r="BA38" s="117">
        <v>2550</v>
      </c>
      <c r="BC38" s="266"/>
      <c r="BE38" s="26">
        <v>2550</v>
      </c>
      <c r="BF38" s="26">
        <v>2162</v>
      </c>
      <c r="BH38" s="26">
        <v>2550</v>
      </c>
      <c r="BI38" s="403">
        <v>1000</v>
      </c>
      <c r="BJ38" s="16">
        <f t="shared" si="17"/>
        <v>3550</v>
      </c>
      <c r="BK38" s="122">
        <f t="shared" si="18"/>
        <v>0.39215686274509803</v>
      </c>
      <c r="BM38" s="117">
        <v>3550</v>
      </c>
      <c r="BN38" s="117">
        <v>3550</v>
      </c>
      <c r="BP38" s="399" t="s">
        <v>1120</v>
      </c>
      <c r="BR38" s="117">
        <v>3550</v>
      </c>
      <c r="BS38" s="26">
        <v>3200.99</v>
      </c>
      <c r="BU38" s="26">
        <v>3550</v>
      </c>
      <c r="BV38" s="244"/>
      <c r="BW38" s="576">
        <f t="shared" si="19"/>
        <v>3550</v>
      </c>
      <c r="BX38" s="577">
        <f t="shared" si="20"/>
        <v>0</v>
      </c>
      <c r="BZ38" s="166">
        <v>3550</v>
      </c>
      <c r="CA38" s="166">
        <v>3550</v>
      </c>
      <c r="CC38" s="754"/>
      <c r="CE38" s="166">
        <v>3550</v>
      </c>
      <c r="CF38" s="166"/>
      <c r="CJ38" s="886"/>
      <c r="CK38" s="1"/>
      <c r="CO38" s="16"/>
    </row>
    <row r="39" spans="1:93" s="19" customFormat="1" x14ac:dyDescent="0.3">
      <c r="A39" s="27"/>
      <c r="B39" s="8"/>
      <c r="C39" s="42"/>
      <c r="D39" s="42"/>
      <c r="E39" s="54"/>
      <c r="F39" s="8"/>
      <c r="G39" s="8" t="s">
        <v>1185</v>
      </c>
      <c r="H39" s="28">
        <f>SUM(H32:H38)</f>
        <v>33396</v>
      </c>
      <c r="I39" s="28">
        <f>SUM(I32:I38)</f>
        <v>-23865</v>
      </c>
      <c r="J39" s="28">
        <f>SUM(J32:J38)</f>
        <v>9531</v>
      </c>
      <c r="K39" s="123">
        <f>IF(H39=0," ",(J39-H39)/H39)</f>
        <v>-0.71460653970535393</v>
      </c>
      <c r="M39" s="28">
        <f>SUM(M32:M38)</f>
        <v>9531</v>
      </c>
      <c r="N39" s="28">
        <f>SUM(N32:N38)</f>
        <v>9531</v>
      </c>
      <c r="P39" s="139">
        <f>SUM(P15:P38)</f>
        <v>0</v>
      </c>
      <c r="R39" s="28">
        <f>SUM(R32:R38)</f>
        <v>9531</v>
      </c>
      <c r="S39" s="28">
        <f>SUM(S31:S38)</f>
        <v>13701.81</v>
      </c>
      <c r="U39" s="28">
        <f>SUM(U31:U38)</f>
        <v>14111</v>
      </c>
      <c r="V39" s="28">
        <f>SUM(V31:V38)</f>
        <v>0</v>
      </c>
      <c r="W39" s="28">
        <f>SUM(W31:W38)</f>
        <v>14111</v>
      </c>
      <c r="X39" s="123">
        <f>IF(U39=0," ",(W39-U39)/U39)</f>
        <v>0</v>
      </c>
      <c r="Z39" s="28">
        <f>SUM(Z31:Z38)</f>
        <v>14111</v>
      </c>
      <c r="AA39" s="28">
        <f>SUM(AA31:AA38)</f>
        <v>14111</v>
      </c>
      <c r="AC39" s="139"/>
      <c r="AE39" s="28">
        <f>SUM(AE31:AE38)</f>
        <v>14111</v>
      </c>
      <c r="AF39" s="28">
        <f>SUM(AF31:AF38)</f>
        <v>12600.39</v>
      </c>
      <c r="AH39" s="28">
        <f>SUM(AH32:AH38)</f>
        <v>9531</v>
      </c>
      <c r="AI39" s="28">
        <f>SUM(AI32:AI38)</f>
        <v>0</v>
      </c>
      <c r="AJ39" s="28">
        <f>SUM(AJ32:AJ38)</f>
        <v>9531</v>
      </c>
      <c r="AK39" s="123">
        <f>IF(AH39=0," ",(AJ39-AH39)/AH39)</f>
        <v>0</v>
      </c>
      <c r="AM39" s="28">
        <f>SUM(AM32:AM38)</f>
        <v>9531</v>
      </c>
      <c r="AN39" s="28">
        <f>SUM(AN32:AN38)</f>
        <v>9531</v>
      </c>
      <c r="AP39" s="139"/>
      <c r="AR39" s="28">
        <f>SUM(AR31:AR38)</f>
        <v>14111</v>
      </c>
      <c r="AS39" s="28">
        <f>SUM(AS31:AS38)</f>
        <v>10496.91</v>
      </c>
      <c r="AU39" s="28">
        <f>SUM(AU31:AU38)</f>
        <v>14111</v>
      </c>
      <c r="AV39" s="28">
        <f>SUM(AV31:AV38)</f>
        <v>0</v>
      </c>
      <c r="AW39" s="28">
        <f>SUM(AW31:AW38)</f>
        <v>14111</v>
      </c>
      <c r="AX39" s="123">
        <f t="shared" si="16"/>
        <v>0</v>
      </c>
      <c r="AZ39" s="28">
        <f>SUM(AZ31:AZ38)</f>
        <v>14111</v>
      </c>
      <c r="BA39" s="28">
        <f>SUM(BA31:BA38)</f>
        <v>14111</v>
      </c>
      <c r="BC39" s="139"/>
      <c r="BE39" s="28">
        <f>SUM(BE31:BE38)</f>
        <v>14111</v>
      </c>
      <c r="BF39" s="28">
        <f>SUM(BF31:BF38)</f>
        <v>8361.84</v>
      </c>
      <c r="BG39" s="9"/>
      <c r="BH39" s="28">
        <f>SUM(BH31:BH38)</f>
        <v>14111</v>
      </c>
      <c r="BI39" s="28">
        <f>SUM(BI31:BI38)</f>
        <v>0</v>
      </c>
      <c r="BJ39" s="28">
        <f>SUM(BJ31:BJ38)</f>
        <v>14111</v>
      </c>
      <c r="BK39" s="123">
        <f t="shared" si="18"/>
        <v>0</v>
      </c>
      <c r="BM39" s="28">
        <f>SUM(BM31:BM38)</f>
        <v>14111</v>
      </c>
      <c r="BN39" s="28">
        <f>SUM(BN31:BN38)</f>
        <v>14111</v>
      </c>
      <c r="BP39" s="139"/>
      <c r="BR39" s="28">
        <f>SUM(BR31:BR38)</f>
        <v>14111</v>
      </c>
      <c r="BS39" s="28">
        <f>SUM(BS31:BS38)</f>
        <v>4407.3999999999996</v>
      </c>
      <c r="BT39" s="9"/>
      <c r="BU39" s="28">
        <f>SUM(BU31:BU38)</f>
        <v>14111</v>
      </c>
      <c r="BV39" s="532">
        <f>SUM(BV31:BV38)</f>
        <v>0</v>
      </c>
      <c r="BW39" s="591">
        <f>SUM(BW31:BW38)</f>
        <v>14111</v>
      </c>
      <c r="BX39" s="579">
        <f t="shared" si="20"/>
        <v>0</v>
      </c>
      <c r="BY39" s="580"/>
      <c r="BZ39" s="591">
        <f>SUM(BZ31:BZ38)</f>
        <v>14111</v>
      </c>
      <c r="CA39" s="591">
        <f>SUM(CA31:CA38)</f>
        <v>14111</v>
      </c>
      <c r="CB39" s="580"/>
      <c r="CC39" s="769"/>
      <c r="CD39" s="580"/>
      <c r="CE39" s="591">
        <f>SUM(CE31:CE38)</f>
        <v>14111</v>
      </c>
      <c r="CF39" s="591">
        <f>SUM(CF31:CF38)</f>
        <v>0</v>
      </c>
      <c r="CG39" s="9"/>
      <c r="CH39" s="815"/>
      <c r="CI39" s="815"/>
      <c r="CJ39" s="886"/>
      <c r="CK39" s="1"/>
      <c r="CO39" s="16"/>
    </row>
    <row r="40" spans="1:93" ht="9.9" customHeight="1" x14ac:dyDescent="0.3">
      <c r="AS40" s="16"/>
      <c r="CJ40" s="886"/>
      <c r="CK40" s="1"/>
      <c r="CO40" s="16"/>
    </row>
    <row r="41" spans="1:93" s="1" customFormat="1" x14ac:dyDescent="0.3">
      <c r="A41" s="20"/>
      <c r="B41" s="5"/>
      <c r="C41" s="39"/>
      <c r="D41" s="39"/>
      <c r="E41" s="51"/>
      <c r="F41" s="5"/>
      <c r="G41" s="21" t="s">
        <v>1186</v>
      </c>
      <c r="H41" s="22">
        <f>H29+H39</f>
        <v>267750</v>
      </c>
      <c r="I41" s="22">
        <f>I29+I39</f>
        <v>-7535.6</v>
      </c>
      <c r="J41" s="22">
        <f>J29+J39</f>
        <v>260214.39999999999</v>
      </c>
      <c r="K41" s="124">
        <f>IF(H41=0," ",(J41-H41)/H41)</f>
        <v>-2.8144164332399649E-2</v>
      </c>
      <c r="M41" s="22">
        <f>M29+M39</f>
        <v>259465</v>
      </c>
      <c r="N41" s="22">
        <f>N29+N39</f>
        <v>259465</v>
      </c>
      <c r="P41" s="136">
        <f>P29+P39</f>
        <v>0</v>
      </c>
      <c r="R41" s="22">
        <f>R29+R39</f>
        <v>259465</v>
      </c>
      <c r="S41" s="22">
        <f>S29+S39</f>
        <v>262491.57</v>
      </c>
      <c r="U41" s="22">
        <f>U29+U39</f>
        <v>264045</v>
      </c>
      <c r="V41" s="22">
        <f>V29+V39</f>
        <v>14677</v>
      </c>
      <c r="W41" s="22">
        <f>W29+W39</f>
        <v>278722</v>
      </c>
      <c r="X41" s="124">
        <f>IF(U41=0," ",(W41-U41)/U41)</f>
        <v>5.5585222215910168E-2</v>
      </c>
      <c r="Z41" s="22">
        <f>Z29+Z39</f>
        <v>278722</v>
      </c>
      <c r="AA41" s="22">
        <f>AA29+AA39</f>
        <v>278722</v>
      </c>
      <c r="AC41" s="136"/>
      <c r="AE41" s="22">
        <f>AE29+AE39</f>
        <v>278722</v>
      </c>
      <c r="AF41" s="199">
        <f>AF29+AF39</f>
        <v>365349.41000000003</v>
      </c>
      <c r="AH41" s="22">
        <v>278722</v>
      </c>
      <c r="AI41" s="22">
        <f>AI29+AI39</f>
        <v>7412</v>
      </c>
      <c r="AJ41" s="22">
        <f>AJ29+AJ39</f>
        <v>281554</v>
      </c>
      <c r="AK41" s="124">
        <f>IF(AH41=0," ",(AJ41-AH41)/AH41)</f>
        <v>1.0160661878143814E-2</v>
      </c>
      <c r="AM41" s="22">
        <f>AM29+AM39</f>
        <v>283679</v>
      </c>
      <c r="AN41" s="22">
        <f>AN29+AN39</f>
        <v>283679</v>
      </c>
      <c r="AP41" s="136"/>
      <c r="AR41" s="22">
        <f>AR29+AR39</f>
        <v>288259</v>
      </c>
      <c r="AS41" s="22">
        <f>AS29+AS39</f>
        <v>274985.32</v>
      </c>
      <c r="AU41" s="22">
        <f>AU29+AU39</f>
        <v>288259</v>
      </c>
      <c r="AV41" s="22">
        <f>AV29+AV39</f>
        <v>9380</v>
      </c>
      <c r="AW41" s="22">
        <f>AW29+AW39</f>
        <v>297639</v>
      </c>
      <c r="AX41" s="124">
        <f>IF(AU41=0," ",(AW41-AU41)/AU41)</f>
        <v>3.2540180879001179E-2</v>
      </c>
      <c r="AZ41" s="22">
        <f>AZ29+AZ39</f>
        <v>297067</v>
      </c>
      <c r="BA41" s="22">
        <f>BA29+BA39</f>
        <v>294126</v>
      </c>
      <c r="BC41" s="136"/>
      <c r="BE41" s="22">
        <f>BE29+BE39</f>
        <v>294126</v>
      </c>
      <c r="BF41" s="22">
        <f>BF29+BF39</f>
        <v>289947.94</v>
      </c>
      <c r="BH41" s="22">
        <f>BH29+BH39</f>
        <v>294126</v>
      </c>
      <c r="BI41" s="22">
        <f>BI29+BI39</f>
        <v>5536</v>
      </c>
      <c r="BJ41" s="22">
        <f>BJ29+BJ39</f>
        <v>299662</v>
      </c>
      <c r="BK41" s="124">
        <f>IF(BH41=0," ",(BJ41-BH41)/BH41)</f>
        <v>1.8821865459020964E-2</v>
      </c>
      <c r="BM41" s="22">
        <f>BM29+BM39</f>
        <v>299662</v>
      </c>
      <c r="BN41" s="22">
        <f>BN29+BN39</f>
        <v>299662</v>
      </c>
      <c r="BP41" s="136"/>
      <c r="BR41" s="22">
        <f>BR29+BR39</f>
        <v>299662</v>
      </c>
      <c r="BS41" s="22">
        <f>BS29+BS39</f>
        <v>133143.46</v>
      </c>
      <c r="BU41" s="22">
        <f>BU29+BU39</f>
        <v>299662</v>
      </c>
      <c r="BV41" s="531">
        <f>BV29+BV39</f>
        <v>1833</v>
      </c>
      <c r="BW41" s="581">
        <f>BW29+BW39</f>
        <v>301495</v>
      </c>
      <c r="BX41" s="582">
        <f>IF(BU41=0," ",(BW41-BU41)/BU41)</f>
        <v>6.1168916979797237E-3</v>
      </c>
      <c r="BY41" s="573"/>
      <c r="BZ41" s="581">
        <f>BZ29+BZ39</f>
        <v>301495</v>
      </c>
      <c r="CA41" s="581">
        <f>CA29+CA39</f>
        <v>323248</v>
      </c>
      <c r="CB41" s="573"/>
      <c r="CC41" s="764"/>
      <c r="CD41" s="573"/>
      <c r="CE41" s="581">
        <f>CE29+CE39</f>
        <v>323248</v>
      </c>
      <c r="CF41" s="581">
        <f>CF29+CF39</f>
        <v>0</v>
      </c>
      <c r="CH41" s="812"/>
      <c r="CI41" s="812"/>
      <c r="CJ41" s="886"/>
      <c r="CO41" s="16"/>
    </row>
    <row r="42" spans="1:93" ht="20.100000000000001" customHeight="1" x14ac:dyDescent="0.3">
      <c r="AS42" s="16"/>
      <c r="CJ42" s="886"/>
      <c r="CK42" s="1"/>
      <c r="CO42" s="16"/>
    </row>
    <row r="43" spans="1:93" s="1" customFormat="1" ht="15.6" x14ac:dyDescent="0.3">
      <c r="A43" s="14" t="s">
        <v>1187</v>
      </c>
      <c r="B43" s="2"/>
      <c r="C43" s="36"/>
      <c r="D43" s="36"/>
      <c r="E43" s="48"/>
      <c r="F43" s="2"/>
      <c r="G43" s="2"/>
      <c r="H43" s="15"/>
      <c r="I43" s="15"/>
      <c r="J43" s="15"/>
      <c r="K43" s="121"/>
      <c r="M43" s="15"/>
      <c r="N43" s="15"/>
      <c r="P43" s="133"/>
      <c r="R43" s="15"/>
      <c r="S43" s="15"/>
      <c r="U43" s="15"/>
      <c r="V43" s="15"/>
      <c r="W43" s="15"/>
      <c r="X43" s="121"/>
      <c r="Z43" s="15"/>
      <c r="AA43" s="15"/>
      <c r="AC43" s="133"/>
      <c r="AE43" s="15"/>
      <c r="AF43" s="196"/>
      <c r="AH43" s="15"/>
      <c r="AI43" s="15"/>
      <c r="AJ43" s="15"/>
      <c r="AK43" s="121"/>
      <c r="AM43" s="15"/>
      <c r="AN43" s="15"/>
      <c r="AP43" s="133"/>
      <c r="AR43" s="15"/>
      <c r="AS43" s="15"/>
      <c r="AU43" s="15"/>
      <c r="AV43" s="15"/>
      <c r="AW43" s="15"/>
      <c r="AX43" s="121"/>
      <c r="AZ43" s="15"/>
      <c r="BA43" s="15"/>
      <c r="BC43" s="133"/>
      <c r="BE43" s="15"/>
      <c r="BF43" s="15"/>
      <c r="BH43" s="15"/>
      <c r="BI43" s="15"/>
      <c r="BJ43" s="15"/>
      <c r="BK43" s="121"/>
      <c r="BM43" s="15"/>
      <c r="BN43" s="15"/>
      <c r="BP43" s="234"/>
      <c r="BR43" s="15"/>
      <c r="BS43" s="15"/>
      <c r="BU43" s="15"/>
      <c r="BV43" s="529"/>
      <c r="BW43" s="574"/>
      <c r="BX43" s="575"/>
      <c r="BY43" s="573"/>
      <c r="BZ43" s="574"/>
      <c r="CA43" s="574"/>
      <c r="CB43" s="573"/>
      <c r="CC43" s="761"/>
      <c r="CD43" s="573"/>
      <c r="CE43" s="574"/>
      <c r="CF43" s="574"/>
      <c r="CH43" s="812"/>
      <c r="CI43" s="812"/>
      <c r="CJ43" s="886"/>
      <c r="CO43" s="16"/>
    </row>
    <row r="44" spans="1:93" x14ac:dyDescent="0.3">
      <c r="A44" s="11">
        <v>124</v>
      </c>
      <c r="B44" s="3" t="s">
        <v>2</v>
      </c>
      <c r="C44" s="37">
        <v>12405</v>
      </c>
      <c r="D44" s="37">
        <v>53030</v>
      </c>
      <c r="E44" s="49" t="s">
        <v>118</v>
      </c>
      <c r="F44" s="3" t="s">
        <v>2</v>
      </c>
      <c r="G44" s="3" t="s">
        <v>370</v>
      </c>
      <c r="H44" s="26">
        <v>50000</v>
      </c>
      <c r="I44" s="117"/>
      <c r="J44" s="16">
        <f t="shared" ref="J44:J49" si="22">H44+I44</f>
        <v>50000</v>
      </c>
      <c r="K44" s="122">
        <f t="shared" ref="K44:K50" si="23">IF(H44=0," ",(J44-H44)/H44)</f>
        <v>0</v>
      </c>
      <c r="M44" s="117">
        <v>50000</v>
      </c>
      <c r="N44" s="117">
        <v>50000</v>
      </c>
      <c r="P44" s="259"/>
      <c r="R44" s="26">
        <v>50000</v>
      </c>
      <c r="S44" s="26">
        <v>58083.98</v>
      </c>
      <c r="U44" s="26">
        <v>50000</v>
      </c>
      <c r="V44" s="244">
        <v>0</v>
      </c>
      <c r="W44" s="16">
        <f t="shared" ref="W44:W49" si="24">U44+V44</f>
        <v>50000</v>
      </c>
      <c r="X44" s="122">
        <f t="shared" ref="X44:X50" si="25">IF(U44=0," ",(W44-U44)/U44)</f>
        <v>0</v>
      </c>
      <c r="Z44" s="117">
        <v>50000</v>
      </c>
      <c r="AA44" s="117">
        <v>55000</v>
      </c>
      <c r="AC44" s="259" t="s">
        <v>732</v>
      </c>
      <c r="AE44" s="26">
        <v>55000</v>
      </c>
      <c r="AF44" s="200">
        <v>50943.51</v>
      </c>
      <c r="AH44" s="26">
        <v>55000</v>
      </c>
      <c r="AI44" s="244"/>
      <c r="AJ44" s="16">
        <f t="shared" ref="AJ44:AJ49" si="26">AH44+AI44</f>
        <v>55000</v>
      </c>
      <c r="AK44" s="122">
        <f t="shared" ref="AK44:AK49" si="27">IF(AH44=0," ",(AJ44-AH44)/AH44)</f>
        <v>0</v>
      </c>
      <c r="AM44" s="117">
        <v>55000</v>
      </c>
      <c r="AN44" s="117">
        <v>55000</v>
      </c>
      <c r="AO44" s="178"/>
      <c r="AP44" s="266"/>
      <c r="AR44" s="26">
        <v>55000</v>
      </c>
      <c r="AS44" s="26">
        <v>25354.62</v>
      </c>
      <c r="AU44" s="26">
        <f>AR44</f>
        <v>55000</v>
      </c>
      <c r="AV44" s="244"/>
      <c r="AW44" s="16">
        <f t="shared" ref="AW44:AW49" si="28">AU44+AV44</f>
        <v>55000</v>
      </c>
      <c r="AX44" s="122">
        <f t="shared" ref="AX44:AX49" si="29">IF(AU44=0," ",(AW44-AU44)/AU44)</f>
        <v>0</v>
      </c>
      <c r="AZ44" s="117">
        <v>55000</v>
      </c>
      <c r="BA44" s="117">
        <v>55000</v>
      </c>
      <c r="BB44" s="178"/>
      <c r="BC44" s="266" t="s">
        <v>1019</v>
      </c>
      <c r="BE44" s="26">
        <v>55000</v>
      </c>
      <c r="BF44" s="26">
        <v>34444.39</v>
      </c>
      <c r="BH44" s="26">
        <v>55000</v>
      </c>
      <c r="BI44" s="244"/>
      <c r="BJ44" s="16">
        <f t="shared" ref="BJ44:BJ49" si="30">BH44+BI44</f>
        <v>55000</v>
      </c>
      <c r="BK44" s="122">
        <f t="shared" ref="BK44:BK50" si="31">IF(BH44=0," ",(BJ44-BH44)/BH44)</f>
        <v>0</v>
      </c>
      <c r="BM44" s="117">
        <v>55000</v>
      </c>
      <c r="BN44" s="117">
        <v>55000</v>
      </c>
      <c r="BO44" s="178"/>
      <c r="BP44" s="259"/>
      <c r="BR44" s="117">
        <v>55000</v>
      </c>
      <c r="BS44" s="26">
        <v>2374.87</v>
      </c>
      <c r="BU44" s="26">
        <v>55000</v>
      </c>
      <c r="BV44" s="244">
        <v>-5000</v>
      </c>
      <c r="BW44" s="576">
        <f t="shared" ref="BW44:BW49" si="32">BU44+BV44</f>
        <v>50000</v>
      </c>
      <c r="BX44" s="577">
        <f t="shared" ref="BX44:BX50" si="33">IF(BU44=0," ",(BW44-BU44)/BU44)</f>
        <v>-9.0909090909090912E-2</v>
      </c>
      <c r="BZ44" s="166">
        <v>50000</v>
      </c>
      <c r="CA44" s="166">
        <v>50000</v>
      </c>
      <c r="CC44" s="753"/>
      <c r="CE44" s="166">
        <v>50000</v>
      </c>
      <c r="CF44" s="166"/>
      <c r="CJ44" s="886"/>
      <c r="CK44" s="1"/>
      <c r="CO44" s="16"/>
    </row>
    <row r="45" spans="1:93" x14ac:dyDescent="0.3">
      <c r="A45" s="11">
        <v>124</v>
      </c>
      <c r="B45" s="3" t="s">
        <v>2</v>
      </c>
      <c r="C45" s="37">
        <v>12405</v>
      </c>
      <c r="D45" s="37">
        <v>53050</v>
      </c>
      <c r="E45" s="49" t="s">
        <v>118</v>
      </c>
      <c r="F45" s="3" t="s">
        <v>2</v>
      </c>
      <c r="G45" s="3" t="s">
        <v>1473</v>
      </c>
      <c r="H45" s="26">
        <v>20000</v>
      </c>
      <c r="I45" s="117"/>
      <c r="J45" s="16">
        <f t="shared" si="22"/>
        <v>20000</v>
      </c>
      <c r="K45" s="122">
        <f t="shared" si="23"/>
        <v>0</v>
      </c>
      <c r="M45" s="117">
        <v>20000</v>
      </c>
      <c r="N45" s="117">
        <v>20000</v>
      </c>
      <c r="P45" s="259"/>
      <c r="R45" s="26">
        <v>20000</v>
      </c>
      <c r="S45" s="26">
        <v>19639.080000000002</v>
      </c>
      <c r="U45" s="26">
        <v>20000</v>
      </c>
      <c r="V45" s="244">
        <v>0</v>
      </c>
      <c r="W45" s="16">
        <f t="shared" si="24"/>
        <v>20000</v>
      </c>
      <c r="X45" s="122">
        <f t="shared" si="25"/>
        <v>0</v>
      </c>
      <c r="Z45" s="117">
        <v>20000</v>
      </c>
      <c r="AA45" s="117">
        <v>20000</v>
      </c>
      <c r="AC45" s="259"/>
      <c r="AE45" s="26">
        <v>20000</v>
      </c>
      <c r="AF45" s="200">
        <v>20831.12</v>
      </c>
      <c r="AH45" s="26">
        <v>20000</v>
      </c>
      <c r="AI45" s="244"/>
      <c r="AJ45" s="16">
        <f t="shared" si="26"/>
        <v>20000</v>
      </c>
      <c r="AK45" s="122">
        <f t="shared" si="27"/>
        <v>0</v>
      </c>
      <c r="AM45" s="117">
        <v>20000</v>
      </c>
      <c r="AN45" s="117">
        <v>20000</v>
      </c>
      <c r="AP45" s="259"/>
      <c r="AR45" s="26">
        <v>20000</v>
      </c>
      <c r="AS45" s="26">
        <v>31065</v>
      </c>
      <c r="AU45" s="26">
        <f>AR45</f>
        <v>20000</v>
      </c>
      <c r="AV45" s="244"/>
      <c r="AW45" s="16">
        <f t="shared" si="28"/>
        <v>20000</v>
      </c>
      <c r="AX45" s="122">
        <f t="shared" si="29"/>
        <v>0</v>
      </c>
      <c r="AZ45" s="117">
        <v>20000</v>
      </c>
      <c r="BA45" s="117">
        <v>20000</v>
      </c>
      <c r="BC45" s="259"/>
      <c r="BE45" s="26">
        <v>20000</v>
      </c>
      <c r="BF45" s="26">
        <v>34376.43</v>
      </c>
      <c r="BH45" s="26">
        <v>20000</v>
      </c>
      <c r="BI45" s="244"/>
      <c r="BJ45" s="16">
        <f t="shared" si="30"/>
        <v>20000</v>
      </c>
      <c r="BK45" s="122">
        <f t="shared" si="31"/>
        <v>0</v>
      </c>
      <c r="BM45" s="117">
        <v>20000</v>
      </c>
      <c r="BN45" s="117">
        <v>20000</v>
      </c>
      <c r="BP45" s="259"/>
      <c r="BR45" s="117">
        <v>20000</v>
      </c>
      <c r="BS45" s="26">
        <v>3120</v>
      </c>
      <c r="BU45" s="26">
        <v>20000</v>
      </c>
      <c r="BV45" s="244">
        <v>5000</v>
      </c>
      <c r="BW45" s="576">
        <f t="shared" si="32"/>
        <v>25000</v>
      </c>
      <c r="BX45" s="577">
        <f t="shared" si="33"/>
        <v>0.25</v>
      </c>
      <c r="BZ45" s="166">
        <v>25000</v>
      </c>
      <c r="CA45" s="166">
        <v>25000</v>
      </c>
      <c r="CC45" s="753"/>
      <c r="CE45" s="166">
        <v>25000</v>
      </c>
      <c r="CF45" s="166"/>
      <c r="CJ45" s="886"/>
      <c r="CK45" s="1"/>
      <c r="CO45" s="16"/>
    </row>
    <row r="46" spans="1:93" x14ac:dyDescent="0.3">
      <c r="A46" s="789">
        <v>124</v>
      </c>
      <c r="B46" s="178" t="s">
        <v>2</v>
      </c>
      <c r="C46" s="325">
        <v>12405</v>
      </c>
      <c r="D46" s="325" t="s">
        <v>1451</v>
      </c>
      <c r="E46" s="790" t="s">
        <v>118</v>
      </c>
      <c r="F46" s="178"/>
      <c r="G46" s="178" t="s">
        <v>1513</v>
      </c>
      <c r="H46" s="26"/>
      <c r="I46" s="117"/>
      <c r="M46" s="117"/>
      <c r="N46" s="117"/>
      <c r="P46" s="259"/>
      <c r="R46" s="26"/>
      <c r="S46" s="26"/>
      <c r="U46" s="26"/>
      <c r="V46" s="244"/>
      <c r="Z46" s="117"/>
      <c r="AA46" s="117"/>
      <c r="AC46" s="259"/>
      <c r="AE46" s="26"/>
      <c r="AF46" s="200"/>
      <c r="AH46" s="26"/>
      <c r="AI46" s="244"/>
      <c r="AM46" s="117"/>
      <c r="AN46" s="117"/>
      <c r="AP46" s="259"/>
      <c r="AR46" s="26"/>
      <c r="AS46" s="26"/>
      <c r="AU46" s="26"/>
      <c r="AV46" s="244"/>
      <c r="AZ46" s="117"/>
      <c r="BA46" s="117"/>
      <c r="BC46" s="259"/>
      <c r="BE46" s="26"/>
      <c r="BF46" s="26"/>
      <c r="BH46" s="26"/>
      <c r="BI46" s="244"/>
      <c r="BM46" s="117"/>
      <c r="BN46" s="117"/>
      <c r="BP46" s="259"/>
      <c r="BR46" s="117"/>
      <c r="BS46" s="26"/>
      <c r="BU46" s="26"/>
      <c r="BV46" s="244"/>
      <c r="BZ46" s="166"/>
      <c r="CA46" s="166"/>
      <c r="CC46" s="430" t="s">
        <v>1601</v>
      </c>
      <c r="CE46" s="166"/>
      <c r="CF46" s="166"/>
      <c r="CJ46" s="886"/>
      <c r="CK46" s="1"/>
      <c r="CO46" s="16"/>
    </row>
    <row r="47" spans="1:93" x14ac:dyDescent="0.3">
      <c r="A47" s="11">
        <v>124</v>
      </c>
      <c r="B47" s="3" t="s">
        <v>2</v>
      </c>
      <c r="C47" s="37">
        <v>12405</v>
      </c>
      <c r="D47" s="37">
        <v>53200</v>
      </c>
      <c r="E47" s="49" t="s">
        <v>118</v>
      </c>
      <c r="F47" s="3" t="s">
        <v>2</v>
      </c>
      <c r="G47" s="3" t="s">
        <v>1038</v>
      </c>
      <c r="H47" s="26">
        <v>2100</v>
      </c>
      <c r="I47" s="117"/>
      <c r="J47" s="16">
        <f>H47+I47</f>
        <v>2100</v>
      </c>
      <c r="K47" s="122">
        <f>IF(H47=0," ",(J47-H47)/H47)</f>
        <v>0</v>
      </c>
      <c r="M47" s="117">
        <v>2100</v>
      </c>
      <c r="N47" s="117">
        <v>2100</v>
      </c>
      <c r="P47" s="259" t="s">
        <v>564</v>
      </c>
      <c r="R47" s="26">
        <v>2100</v>
      </c>
      <c r="S47" s="26">
        <v>0</v>
      </c>
      <c r="U47" s="26">
        <v>2100</v>
      </c>
      <c r="V47" s="244">
        <v>0</v>
      </c>
      <c r="W47" s="16">
        <f>U47+V47</f>
        <v>2100</v>
      </c>
      <c r="X47" s="122">
        <f>IF(U47=0," ",(W47-U47)/U47)</f>
        <v>0</v>
      </c>
      <c r="Z47" s="117">
        <v>2100</v>
      </c>
      <c r="AA47" s="117">
        <v>2100</v>
      </c>
      <c r="AC47" s="259"/>
      <c r="AE47" s="26">
        <v>2100</v>
      </c>
      <c r="AF47" s="200">
        <v>1035</v>
      </c>
      <c r="AH47" s="26">
        <v>2100</v>
      </c>
      <c r="AI47" s="244"/>
      <c r="AJ47" s="16">
        <f>AH47+AI47</f>
        <v>2100</v>
      </c>
      <c r="AK47" s="122">
        <f>IF(AH47=0," ",(AJ47-AH47)/AH47)</f>
        <v>0</v>
      </c>
      <c r="AM47" s="117">
        <v>2100</v>
      </c>
      <c r="AN47" s="117">
        <v>2100</v>
      </c>
      <c r="AP47" s="259"/>
      <c r="AR47" s="26">
        <v>2100</v>
      </c>
      <c r="AS47" s="26">
        <v>2290</v>
      </c>
      <c r="AU47" s="26">
        <f>AR47</f>
        <v>2100</v>
      </c>
      <c r="AV47" s="244"/>
      <c r="AW47" s="16">
        <f t="shared" si="28"/>
        <v>2100</v>
      </c>
      <c r="AZ47" s="117">
        <v>2100</v>
      </c>
      <c r="BA47" s="117">
        <v>2100</v>
      </c>
      <c r="BC47" s="259"/>
      <c r="BE47" s="26">
        <v>2100</v>
      </c>
      <c r="BF47" s="26">
        <v>1175</v>
      </c>
      <c r="BH47" s="26">
        <v>2100</v>
      </c>
      <c r="BI47" s="244"/>
      <c r="BJ47" s="16">
        <f t="shared" si="30"/>
        <v>2100</v>
      </c>
      <c r="BK47" s="122">
        <f t="shared" si="31"/>
        <v>0</v>
      </c>
      <c r="BM47" s="117">
        <v>2100</v>
      </c>
      <c r="BN47" s="117">
        <v>2100</v>
      </c>
      <c r="BP47" s="259"/>
      <c r="BR47" s="117">
        <v>2100</v>
      </c>
      <c r="BS47" s="26"/>
      <c r="BU47" s="26">
        <v>2100</v>
      </c>
      <c r="BV47" s="244"/>
      <c r="BW47" s="576">
        <f t="shared" si="32"/>
        <v>2100</v>
      </c>
      <c r="BX47" s="577">
        <f t="shared" si="33"/>
        <v>0</v>
      </c>
      <c r="BZ47" s="166">
        <v>2100</v>
      </c>
      <c r="CA47" s="166">
        <v>2100</v>
      </c>
      <c r="CC47" s="753"/>
      <c r="CE47" s="166">
        <v>2100</v>
      </c>
      <c r="CF47" s="166"/>
      <c r="CJ47" s="886"/>
      <c r="CK47" s="1"/>
      <c r="CO47" s="16"/>
    </row>
    <row r="48" spans="1:93" x14ac:dyDescent="0.3">
      <c r="A48" s="11">
        <v>124</v>
      </c>
      <c r="B48" s="3" t="s">
        <v>2</v>
      </c>
      <c r="C48" s="37">
        <v>12405</v>
      </c>
      <c r="D48" s="37">
        <v>53801</v>
      </c>
      <c r="E48" s="49" t="s">
        <v>118</v>
      </c>
      <c r="F48" s="3" t="s">
        <v>2</v>
      </c>
      <c r="G48" s="3" t="s">
        <v>371</v>
      </c>
      <c r="H48" s="26">
        <v>200</v>
      </c>
      <c r="I48" s="117"/>
      <c r="J48" s="16">
        <f t="shared" si="22"/>
        <v>200</v>
      </c>
      <c r="K48" s="122">
        <f t="shared" si="23"/>
        <v>0</v>
      </c>
      <c r="M48" s="117">
        <v>200</v>
      </c>
      <c r="N48" s="117">
        <v>200</v>
      </c>
      <c r="P48" s="259"/>
      <c r="R48" s="26">
        <v>200</v>
      </c>
      <c r="S48" s="26">
        <v>0</v>
      </c>
      <c r="U48" s="26">
        <v>200</v>
      </c>
      <c r="V48" s="244">
        <v>0</v>
      </c>
      <c r="W48" s="16">
        <f t="shared" si="24"/>
        <v>200</v>
      </c>
      <c r="X48" s="122">
        <f t="shared" si="25"/>
        <v>0</v>
      </c>
      <c r="Z48" s="117">
        <v>200</v>
      </c>
      <c r="AA48" s="117">
        <v>200</v>
      </c>
      <c r="AC48" s="259"/>
      <c r="AE48" s="26">
        <v>200</v>
      </c>
      <c r="AF48" s="200">
        <v>16</v>
      </c>
      <c r="AH48" s="26">
        <v>200</v>
      </c>
      <c r="AI48" s="244"/>
      <c r="AJ48" s="16">
        <f t="shared" si="26"/>
        <v>200</v>
      </c>
      <c r="AK48" s="122">
        <f t="shared" si="27"/>
        <v>0</v>
      </c>
      <c r="AM48" s="117">
        <v>200</v>
      </c>
      <c r="AN48" s="117">
        <v>200</v>
      </c>
      <c r="AP48" s="259"/>
      <c r="AR48" s="26">
        <v>200</v>
      </c>
      <c r="AS48" s="26">
        <v>0</v>
      </c>
      <c r="AU48" s="26">
        <f>AR48</f>
        <v>200</v>
      </c>
      <c r="AV48" s="244"/>
      <c r="AW48" s="16">
        <f t="shared" si="28"/>
        <v>200</v>
      </c>
      <c r="AX48" s="122">
        <f t="shared" si="29"/>
        <v>0</v>
      </c>
      <c r="AZ48" s="117">
        <v>200</v>
      </c>
      <c r="BA48" s="117">
        <v>200</v>
      </c>
      <c r="BC48" s="259"/>
      <c r="BE48" s="26">
        <v>200</v>
      </c>
      <c r="BF48" s="26"/>
      <c r="BH48" s="26">
        <v>200</v>
      </c>
      <c r="BI48" s="244"/>
      <c r="BJ48" s="16">
        <f t="shared" si="30"/>
        <v>200</v>
      </c>
      <c r="BK48" s="122">
        <f t="shared" si="31"/>
        <v>0</v>
      </c>
      <c r="BM48" s="117">
        <v>200</v>
      </c>
      <c r="BN48" s="117">
        <v>200</v>
      </c>
      <c r="BP48" s="259"/>
      <c r="BR48" s="117">
        <v>200</v>
      </c>
      <c r="BS48" s="26"/>
      <c r="BU48" s="26">
        <v>200</v>
      </c>
      <c r="BV48" s="244"/>
      <c r="BW48" s="576">
        <f t="shared" si="32"/>
        <v>200</v>
      </c>
      <c r="BX48" s="577">
        <f t="shared" si="33"/>
        <v>0</v>
      </c>
      <c r="BZ48" s="166">
        <v>200</v>
      </c>
      <c r="CA48" s="166">
        <v>200</v>
      </c>
      <c r="CC48" s="753"/>
      <c r="CE48" s="166">
        <v>200</v>
      </c>
      <c r="CF48" s="166"/>
      <c r="CJ48" s="886"/>
      <c r="CK48" s="1"/>
      <c r="CO48" s="16"/>
    </row>
    <row r="49" spans="1:93" x14ac:dyDescent="0.3">
      <c r="A49" s="11">
        <v>124</v>
      </c>
      <c r="B49" s="3" t="s">
        <v>2</v>
      </c>
      <c r="C49" s="37">
        <v>12405</v>
      </c>
      <c r="D49" s="37">
        <v>57900</v>
      </c>
      <c r="E49" s="49" t="s">
        <v>118</v>
      </c>
      <c r="F49" s="3" t="s">
        <v>2</v>
      </c>
      <c r="G49" s="3" t="s">
        <v>372</v>
      </c>
      <c r="H49" s="26">
        <v>0</v>
      </c>
      <c r="I49" s="117"/>
      <c r="J49" s="16">
        <f t="shared" si="22"/>
        <v>0</v>
      </c>
      <c r="K49" s="122" t="str">
        <f t="shared" si="23"/>
        <v xml:space="preserve"> </v>
      </c>
      <c r="M49" s="117">
        <v>0</v>
      </c>
      <c r="N49" s="117">
        <v>0</v>
      </c>
      <c r="P49" s="259"/>
      <c r="R49" s="26">
        <v>0</v>
      </c>
      <c r="S49" s="26">
        <v>59</v>
      </c>
      <c r="U49" s="26">
        <v>0</v>
      </c>
      <c r="V49" s="244">
        <v>0</v>
      </c>
      <c r="W49" s="16">
        <f t="shared" si="24"/>
        <v>0</v>
      </c>
      <c r="X49" s="122" t="str">
        <f t="shared" si="25"/>
        <v xml:space="preserve"> </v>
      </c>
      <c r="Z49" s="117">
        <v>0</v>
      </c>
      <c r="AA49" s="117">
        <v>0</v>
      </c>
      <c r="AC49" s="259"/>
      <c r="AE49" s="26">
        <v>0</v>
      </c>
      <c r="AF49" s="200">
        <v>0</v>
      </c>
      <c r="AH49" s="26">
        <v>0</v>
      </c>
      <c r="AI49" s="244"/>
      <c r="AJ49" s="16">
        <f t="shared" si="26"/>
        <v>0</v>
      </c>
      <c r="AK49" s="122" t="str">
        <f t="shared" si="27"/>
        <v xml:space="preserve"> </v>
      </c>
      <c r="AM49" s="117">
        <v>0</v>
      </c>
      <c r="AN49" s="117">
        <v>0</v>
      </c>
      <c r="AP49" s="259"/>
      <c r="AR49" s="26">
        <v>0</v>
      </c>
      <c r="AS49" s="26"/>
      <c r="AU49" s="26">
        <f>AR49</f>
        <v>0</v>
      </c>
      <c r="AV49" s="244"/>
      <c r="AW49" s="16">
        <f t="shared" si="28"/>
        <v>0</v>
      </c>
      <c r="AX49" s="122" t="str">
        <f t="shared" si="29"/>
        <v xml:space="preserve"> </v>
      </c>
      <c r="AZ49" s="117"/>
      <c r="BA49" s="117"/>
      <c r="BC49" s="259"/>
      <c r="BE49" s="26"/>
      <c r="BF49" s="26"/>
      <c r="BH49" s="26"/>
      <c r="BI49" s="244"/>
      <c r="BJ49" s="16">
        <f t="shared" si="30"/>
        <v>0</v>
      </c>
      <c r="BK49" s="122" t="str">
        <f t="shared" si="31"/>
        <v xml:space="preserve"> </v>
      </c>
      <c r="BM49" s="117"/>
      <c r="BN49" s="117"/>
      <c r="BP49" s="259"/>
      <c r="BR49" s="117"/>
      <c r="BS49" s="26"/>
      <c r="BU49" s="26"/>
      <c r="BV49" s="244"/>
      <c r="BW49" s="576">
        <f t="shared" si="32"/>
        <v>0</v>
      </c>
      <c r="BX49" s="577" t="str">
        <f t="shared" si="33"/>
        <v xml:space="preserve"> </v>
      </c>
      <c r="BZ49" s="166">
        <v>0</v>
      </c>
      <c r="CA49" s="166">
        <v>0</v>
      </c>
      <c r="CC49" s="753"/>
      <c r="CE49" s="166">
        <v>0</v>
      </c>
      <c r="CF49" s="166"/>
      <c r="CJ49" s="886"/>
      <c r="CK49" s="1"/>
      <c r="CO49" s="16"/>
    </row>
    <row r="50" spans="1:93" s="19" customFormat="1" x14ac:dyDescent="0.3">
      <c r="A50" s="27"/>
      <c r="B50" s="8"/>
      <c r="C50" s="42"/>
      <c r="D50" s="42"/>
      <c r="E50" s="54"/>
      <c r="F50" s="8"/>
      <c r="G50" s="8" t="s">
        <v>1188</v>
      </c>
      <c r="H50" s="28">
        <f>SUM(H44:H49)</f>
        <v>72300</v>
      </c>
      <c r="I50" s="28">
        <f>SUM(I44:I49)</f>
        <v>0</v>
      </c>
      <c r="J50" s="28">
        <f>SUM(J44:J49)</f>
        <v>72300</v>
      </c>
      <c r="K50" s="123">
        <f t="shared" si="23"/>
        <v>0</v>
      </c>
      <c r="M50" s="28">
        <f>SUM(M44:M49)</f>
        <v>72300</v>
      </c>
      <c r="N50" s="28">
        <f>SUM(N44:N49)</f>
        <v>72300</v>
      </c>
      <c r="P50" s="139">
        <f>SUM(P44:P49)</f>
        <v>0</v>
      </c>
      <c r="R50" s="28">
        <f>SUM(R44:R49)</f>
        <v>72300</v>
      </c>
      <c r="S50" s="28">
        <f>SUM(S44:S49)</f>
        <v>77782.06</v>
      </c>
      <c r="U50" s="28">
        <f>SUM(U44:U49)</f>
        <v>72300</v>
      </c>
      <c r="V50" s="28">
        <f>SUM(V44:V49)</f>
        <v>0</v>
      </c>
      <c r="W50" s="28">
        <f>SUM(W44:W49)</f>
        <v>72300</v>
      </c>
      <c r="X50" s="123">
        <f t="shared" si="25"/>
        <v>0</v>
      </c>
      <c r="Z50" s="28">
        <f>SUM(Z44:Z49)</f>
        <v>72300</v>
      </c>
      <c r="AA50" s="28">
        <f>SUM(AA44:AA49)</f>
        <v>77300</v>
      </c>
      <c r="AC50" s="139"/>
      <c r="AE50" s="28">
        <f>SUM(AE44:AE49)</f>
        <v>77300</v>
      </c>
      <c r="AF50" s="201">
        <f>SUM(AF44:AF49)</f>
        <v>72825.63</v>
      </c>
      <c r="AH50" s="28">
        <v>77300</v>
      </c>
      <c r="AI50" s="28">
        <f>SUM(AI44:AI49)</f>
        <v>0</v>
      </c>
      <c r="AJ50" s="28">
        <f>SUM(AJ44:AJ49)</f>
        <v>77300</v>
      </c>
      <c r="AK50" s="123">
        <f>IF(AH50=0," ",(AJ50-AH50)/AH50)</f>
        <v>0</v>
      </c>
      <c r="AM50" s="28">
        <f>SUM(AM44:AM49)</f>
        <v>77300</v>
      </c>
      <c r="AN50" s="28">
        <f>SUM(AN44:AN49)</f>
        <v>77300</v>
      </c>
      <c r="AP50" s="139"/>
      <c r="AR50" s="28">
        <f>SUM(AR44:AR49)</f>
        <v>77300</v>
      </c>
      <c r="AS50" s="28">
        <f>SUM(AS44:AS49)</f>
        <v>58709.619999999995</v>
      </c>
      <c r="AU50" s="28">
        <f>SUM(AU44:AU49)</f>
        <v>77300</v>
      </c>
      <c r="AV50" s="28">
        <f>SUM(AV44:AV49)</f>
        <v>0</v>
      </c>
      <c r="AW50" s="28">
        <f>SUM(AW44:AW49)</f>
        <v>77300</v>
      </c>
      <c r="AX50" s="123">
        <f>IF(AU50=0," ",(AW50-AU50)/AU50)</f>
        <v>0</v>
      </c>
      <c r="AZ50" s="28">
        <f>SUM(AZ44:AZ49)</f>
        <v>77300</v>
      </c>
      <c r="BA50" s="28">
        <f>SUM(BA44:BA49)</f>
        <v>77300</v>
      </c>
      <c r="BC50" s="139"/>
      <c r="BE50" s="28">
        <f>SUM(BE44:BE49)</f>
        <v>77300</v>
      </c>
      <c r="BF50" s="28">
        <f>SUM(BF44:BF49)</f>
        <v>69995.820000000007</v>
      </c>
      <c r="BG50" s="9"/>
      <c r="BH50" s="28">
        <f>SUM(BH44:BH49)</f>
        <v>77300</v>
      </c>
      <c r="BI50" s="28">
        <f>SUM(BI44:BI49)</f>
        <v>0</v>
      </c>
      <c r="BJ50" s="28">
        <f>SUM(BJ44:BJ49)</f>
        <v>77300</v>
      </c>
      <c r="BK50" s="123">
        <f t="shared" si="31"/>
        <v>0</v>
      </c>
      <c r="BM50" s="28">
        <f>SUM(BM44:BM49)</f>
        <v>77300</v>
      </c>
      <c r="BN50" s="28">
        <f>SUM(BN44:BN49)</f>
        <v>77300</v>
      </c>
      <c r="BP50" s="139"/>
      <c r="BR50" s="28">
        <f>SUM(BR44:BR49)</f>
        <v>77300</v>
      </c>
      <c r="BS50" s="28">
        <f>SUM(BS44:BS49)</f>
        <v>5494.87</v>
      </c>
      <c r="BT50" s="9"/>
      <c r="BU50" s="28">
        <f>SUM(BU44:BU49)</f>
        <v>77300</v>
      </c>
      <c r="BV50" s="532">
        <f>SUM(BV44:BV49)</f>
        <v>0</v>
      </c>
      <c r="BW50" s="591">
        <f>SUM(BW44:BW49)</f>
        <v>77300</v>
      </c>
      <c r="BX50" s="579">
        <f t="shared" si="33"/>
        <v>0</v>
      </c>
      <c r="BY50" s="580"/>
      <c r="BZ50" s="591">
        <f>SUM(BZ44:BZ49)</f>
        <v>77300</v>
      </c>
      <c r="CA50" s="591">
        <f>SUM(CA44:CA49)</f>
        <v>77300</v>
      </c>
      <c r="CB50" s="580"/>
      <c r="CC50" s="769"/>
      <c r="CD50" s="580"/>
      <c r="CE50" s="591">
        <f>SUM(CE44:CE49)</f>
        <v>77300</v>
      </c>
      <c r="CF50" s="591">
        <f>SUM(CF44:CF49)</f>
        <v>0</v>
      </c>
      <c r="CG50" s="9"/>
      <c r="CH50" s="815"/>
      <c r="CI50" s="815"/>
      <c r="CJ50" s="886"/>
      <c r="CK50" s="1"/>
      <c r="CO50" s="16"/>
    </row>
    <row r="51" spans="1:93" s="1" customFormat="1" x14ac:dyDescent="0.3">
      <c r="A51" s="12"/>
      <c r="C51" s="35"/>
      <c r="D51" s="35"/>
      <c r="E51" s="47"/>
      <c r="H51" s="26"/>
      <c r="I51" s="26"/>
      <c r="J51" s="26"/>
      <c r="K51" s="125"/>
      <c r="M51" s="26"/>
      <c r="N51" s="26"/>
      <c r="P51" s="138"/>
      <c r="R51" s="26"/>
      <c r="S51" s="26"/>
      <c r="U51" s="26"/>
      <c r="V51" s="26"/>
      <c r="W51" s="26"/>
      <c r="X51" s="125"/>
      <c r="Z51" s="26"/>
      <c r="AA51" s="26"/>
      <c r="AC51" s="138"/>
      <c r="AE51" s="26"/>
      <c r="AF51" s="200"/>
      <c r="AH51" s="26"/>
      <c r="AI51" s="26"/>
      <c r="AJ51" s="26"/>
      <c r="AK51" s="125"/>
      <c r="AM51" s="26"/>
      <c r="AN51" s="26"/>
      <c r="AP51" s="138"/>
      <c r="AR51" s="26"/>
      <c r="AS51" s="26"/>
      <c r="AU51" s="26"/>
      <c r="AV51" s="26"/>
      <c r="AW51" s="26"/>
      <c r="AX51" s="125"/>
      <c r="AZ51" s="26"/>
      <c r="BA51" s="26"/>
      <c r="BC51" s="138"/>
      <c r="BE51" s="26"/>
      <c r="BF51" s="26"/>
      <c r="BH51" s="26"/>
      <c r="BI51" s="26"/>
      <c r="BJ51" s="26"/>
      <c r="BK51" s="125"/>
      <c r="BM51" s="26"/>
      <c r="BN51" s="26"/>
      <c r="BP51" s="138"/>
      <c r="BR51" s="26"/>
      <c r="BS51" s="26"/>
      <c r="BU51" s="26"/>
      <c r="BV51" s="26"/>
      <c r="BW51" s="589"/>
      <c r="BX51" s="592"/>
      <c r="BY51" s="573"/>
      <c r="BZ51" s="589"/>
      <c r="CA51" s="589"/>
      <c r="CB51" s="573"/>
      <c r="CC51" s="768"/>
      <c r="CD51" s="573"/>
      <c r="CE51" s="589"/>
      <c r="CF51" s="589"/>
      <c r="CH51" s="812"/>
      <c r="CI51" s="812"/>
      <c r="CJ51" s="886"/>
      <c r="CO51" s="16"/>
    </row>
    <row r="52" spans="1:93" s="1" customFormat="1" x14ac:dyDescent="0.3">
      <c r="A52" s="20"/>
      <c r="B52" s="5"/>
      <c r="C52" s="39"/>
      <c r="D52" s="39"/>
      <c r="E52" s="51"/>
      <c r="F52" s="5"/>
      <c r="G52" s="21" t="s">
        <v>1189</v>
      </c>
      <c r="H52" s="22">
        <f t="shared" ref="H52" si="34">SUM(H50)</f>
        <v>72300</v>
      </c>
      <c r="I52" s="22">
        <f>SUM(I50)</f>
        <v>0</v>
      </c>
      <c r="J52" s="22">
        <f>SUM(J50)</f>
        <v>72300</v>
      </c>
      <c r="K52" s="124">
        <f>IF(H52=0," ",(J52-H52)/H52)</f>
        <v>0</v>
      </c>
      <c r="M52" s="22">
        <f>SUM(M50)</f>
        <v>72300</v>
      </c>
      <c r="N52" s="22">
        <f>SUM(N50)</f>
        <v>72300</v>
      </c>
      <c r="P52" s="136">
        <f>SUM(P50)</f>
        <v>0</v>
      </c>
      <c r="R52" s="22">
        <f>SUM(R50)</f>
        <v>72300</v>
      </c>
      <c r="S52" s="22">
        <f>SUM(S50)</f>
        <v>77782.06</v>
      </c>
      <c r="U52" s="22">
        <f>SUM(U50)</f>
        <v>72300</v>
      </c>
      <c r="V52" s="22">
        <f>SUM(V50)</f>
        <v>0</v>
      </c>
      <c r="W52" s="22">
        <f>SUM(W50)</f>
        <v>72300</v>
      </c>
      <c r="X52" s="124">
        <f>IF(U52=0," ",(W52-U52)/U52)</f>
        <v>0</v>
      </c>
      <c r="Z52" s="22">
        <f>SUM(Z50)</f>
        <v>72300</v>
      </c>
      <c r="AA52" s="22">
        <f>SUM(AA50)</f>
        <v>77300</v>
      </c>
      <c r="AC52" s="136"/>
      <c r="AE52" s="22">
        <f>SUM(AE50)</f>
        <v>77300</v>
      </c>
      <c r="AF52" s="199">
        <f>SUM(AF50)</f>
        <v>72825.63</v>
      </c>
      <c r="AH52" s="22">
        <v>77300</v>
      </c>
      <c r="AI52" s="22">
        <f>SUM(AI50)</f>
        <v>0</v>
      </c>
      <c r="AJ52" s="22">
        <f>SUM(AJ50)</f>
        <v>77300</v>
      </c>
      <c r="AK52" s="124">
        <f>IF(AH52=0," ",(AJ52-AH52)/AH52)</f>
        <v>0</v>
      </c>
      <c r="AM52" s="22">
        <f>SUM(AM50)</f>
        <v>77300</v>
      </c>
      <c r="AN52" s="22">
        <f>SUM(AN50)</f>
        <v>77300</v>
      </c>
      <c r="AP52" s="136"/>
      <c r="AR52" s="22">
        <f>SUM(AR50)</f>
        <v>77300</v>
      </c>
      <c r="AS52" s="22">
        <f>SUM(AS50)</f>
        <v>58709.619999999995</v>
      </c>
      <c r="AU52" s="22">
        <f>SUM(AU50)</f>
        <v>77300</v>
      </c>
      <c r="AV52" s="22">
        <f>SUM(AV50)</f>
        <v>0</v>
      </c>
      <c r="AW52" s="22">
        <f>SUM(AW50)</f>
        <v>77300</v>
      </c>
      <c r="AX52" s="124">
        <f>IF(AU52=0," ",(AW52-AU52)/AU52)</f>
        <v>0</v>
      </c>
      <c r="AZ52" s="22">
        <f>SUM(AZ50)</f>
        <v>77300</v>
      </c>
      <c r="BA52" s="22">
        <f>SUM(BA50)</f>
        <v>77300</v>
      </c>
      <c r="BC52" s="136"/>
      <c r="BE52" s="22">
        <f>SUM(BE50)</f>
        <v>77300</v>
      </c>
      <c r="BF52" s="22">
        <f>SUM(BF50)</f>
        <v>69995.820000000007</v>
      </c>
      <c r="BH52" s="22">
        <f>SUM(BH50)</f>
        <v>77300</v>
      </c>
      <c r="BI52" s="22">
        <f>SUM(BI50)</f>
        <v>0</v>
      </c>
      <c r="BJ52" s="22">
        <f>SUM(BJ50)</f>
        <v>77300</v>
      </c>
      <c r="BK52" s="124">
        <f>IF(BH52=0," ",(BJ52-BH52)/BH52)</f>
        <v>0</v>
      </c>
      <c r="BM52" s="22">
        <f>SUM(BM50)</f>
        <v>77300</v>
      </c>
      <c r="BN52" s="22">
        <f>SUM(BN50)</f>
        <v>77300</v>
      </c>
      <c r="BP52" s="136"/>
      <c r="BR52" s="22">
        <f>SUM(BR50)</f>
        <v>77300</v>
      </c>
      <c r="BS52" s="22">
        <f>SUM(BS50)</f>
        <v>5494.87</v>
      </c>
      <c r="BU52" s="22">
        <f>SUM(BU50)</f>
        <v>77300</v>
      </c>
      <c r="BV52" s="531">
        <f>SUM(BV50)</f>
        <v>0</v>
      </c>
      <c r="BW52" s="581">
        <f>SUM(BW50)</f>
        <v>77300</v>
      </c>
      <c r="BX52" s="582">
        <f>IF(BU52=0," ",(BW52-BU52)/BU52)</f>
        <v>0</v>
      </c>
      <c r="BY52" s="573"/>
      <c r="BZ52" s="581">
        <f>SUM(BZ50)</f>
        <v>77300</v>
      </c>
      <c r="CA52" s="581">
        <f>SUM(CA50)</f>
        <v>77300</v>
      </c>
      <c r="CB52" s="573"/>
      <c r="CC52" s="764"/>
      <c r="CD52" s="573"/>
      <c r="CE52" s="581">
        <f>SUM(CE50)</f>
        <v>77300</v>
      </c>
      <c r="CF52" s="581">
        <f>SUM(CF50)</f>
        <v>0</v>
      </c>
      <c r="CH52" s="812"/>
      <c r="CI52" s="812"/>
      <c r="CJ52" s="886"/>
      <c r="CO52" s="16"/>
    </row>
    <row r="53" spans="1:93" s="1" customFormat="1" x14ac:dyDescent="0.3">
      <c r="A53" s="12"/>
      <c r="C53" s="35"/>
      <c r="D53" s="35"/>
      <c r="E53" s="47"/>
      <c r="H53" s="26"/>
      <c r="I53" s="26"/>
      <c r="J53" s="26"/>
      <c r="K53" s="125"/>
      <c r="M53" s="26"/>
      <c r="N53" s="26"/>
      <c r="P53" s="138"/>
      <c r="R53" s="26"/>
      <c r="S53" s="26"/>
      <c r="U53" s="26"/>
      <c r="V53" s="26"/>
      <c r="W53" s="26"/>
      <c r="X53" s="125"/>
      <c r="Z53" s="26"/>
      <c r="AA53" s="26"/>
      <c r="AC53" s="138"/>
      <c r="AE53" s="26"/>
      <c r="AF53" s="200"/>
      <c r="AH53" s="26"/>
      <c r="AI53" s="26"/>
      <c r="AJ53" s="26"/>
      <c r="AK53" s="125"/>
      <c r="AM53" s="26"/>
      <c r="AN53" s="26"/>
      <c r="AP53" s="138"/>
      <c r="AR53" s="26"/>
      <c r="AS53" s="26"/>
      <c r="AU53" s="26"/>
      <c r="AV53" s="26"/>
      <c r="AW53" s="26"/>
      <c r="AX53" s="125"/>
      <c r="AZ53" s="26"/>
      <c r="BA53" s="26"/>
      <c r="BC53" s="138"/>
      <c r="BE53" s="26"/>
      <c r="BF53" s="26"/>
      <c r="BH53" s="26"/>
      <c r="BI53" s="26"/>
      <c r="BJ53" s="26"/>
      <c r="BK53" s="125"/>
      <c r="BM53" s="26"/>
      <c r="BN53" s="26"/>
      <c r="BP53" s="138"/>
      <c r="BR53" s="26"/>
      <c r="BS53" s="26"/>
      <c r="BU53" s="26"/>
      <c r="BV53" s="26"/>
      <c r="BW53" s="589"/>
      <c r="BX53" s="592"/>
      <c r="BY53" s="573"/>
      <c r="BZ53" s="589"/>
      <c r="CA53" s="589"/>
      <c r="CB53" s="573"/>
      <c r="CC53" s="768"/>
      <c r="CD53" s="573"/>
      <c r="CE53" s="589"/>
      <c r="CF53" s="589"/>
      <c r="CH53" s="812"/>
      <c r="CI53" s="812"/>
      <c r="CJ53" s="886"/>
      <c r="CO53" s="16"/>
    </row>
    <row r="54" spans="1:93" s="1" customFormat="1" ht="15.6" x14ac:dyDescent="0.3">
      <c r="A54" s="14" t="s">
        <v>117</v>
      </c>
      <c r="B54" s="2"/>
      <c r="C54" s="36"/>
      <c r="D54" s="36"/>
      <c r="E54" s="48"/>
      <c r="F54" s="2"/>
      <c r="G54" s="2"/>
      <c r="H54" s="15"/>
      <c r="I54" s="15"/>
      <c r="J54" s="15"/>
      <c r="K54" s="121"/>
      <c r="M54" s="15"/>
      <c r="N54" s="15"/>
      <c r="P54" s="133"/>
      <c r="R54" s="15"/>
      <c r="S54" s="15"/>
      <c r="U54" s="15"/>
      <c r="V54" s="15"/>
      <c r="W54" s="15"/>
      <c r="X54" s="121"/>
      <c r="Z54" s="15"/>
      <c r="AA54" s="15"/>
      <c r="AC54" s="133"/>
      <c r="AE54" s="15"/>
      <c r="AF54" s="196"/>
      <c r="AH54" s="15"/>
      <c r="AI54" s="15"/>
      <c r="AJ54" s="15"/>
      <c r="AK54" s="121"/>
      <c r="AM54" s="15"/>
      <c r="AN54" s="15"/>
      <c r="AP54" s="133"/>
      <c r="AR54" s="15"/>
      <c r="AS54" s="15"/>
      <c r="AU54" s="15"/>
      <c r="AV54" s="15"/>
      <c r="AW54" s="15"/>
      <c r="AX54" s="121"/>
      <c r="AZ54" s="15"/>
      <c r="BA54" s="15"/>
      <c r="BC54" s="133"/>
      <c r="BE54" s="15"/>
      <c r="BF54" s="15"/>
      <c r="BH54" s="15"/>
      <c r="BI54" s="15"/>
      <c r="BJ54" s="15"/>
      <c r="BK54" s="121"/>
      <c r="BM54" s="15"/>
      <c r="BN54" s="15"/>
      <c r="BP54" s="234"/>
      <c r="BR54" s="15"/>
      <c r="BS54" s="15"/>
      <c r="BU54" s="15"/>
      <c r="BV54" s="529"/>
      <c r="BW54" s="574"/>
      <c r="BX54" s="575"/>
      <c r="BY54" s="573"/>
      <c r="BZ54" s="574"/>
      <c r="CA54" s="574"/>
      <c r="CB54" s="573"/>
      <c r="CC54" s="761"/>
      <c r="CD54" s="573"/>
      <c r="CE54" s="574"/>
      <c r="CF54" s="574"/>
      <c r="CH54" s="812"/>
      <c r="CI54" s="812"/>
      <c r="CJ54" s="886"/>
      <c r="CO54" s="16"/>
    </row>
    <row r="55" spans="1:93" x14ac:dyDescent="0.3">
      <c r="A55" s="11">
        <v>131</v>
      </c>
      <c r="B55" s="3" t="s">
        <v>2</v>
      </c>
      <c r="C55" s="37">
        <v>13102</v>
      </c>
      <c r="D55" s="37">
        <v>51140</v>
      </c>
      <c r="E55" s="49" t="s">
        <v>11</v>
      </c>
      <c r="F55" s="3" t="s">
        <v>2</v>
      </c>
      <c r="G55" s="3" t="s">
        <v>373</v>
      </c>
      <c r="H55" s="26">
        <v>1308</v>
      </c>
      <c r="I55" s="117">
        <v>62.88</v>
      </c>
      <c r="J55" s="16">
        <f>H55+I55</f>
        <v>1370.88</v>
      </c>
      <c r="K55" s="122">
        <f>IF(H55=0," ",(J55-H55)/H55)</f>
        <v>4.8073394495412924E-2</v>
      </c>
      <c r="M55" s="117">
        <v>1371</v>
      </c>
      <c r="N55" s="117">
        <v>1371</v>
      </c>
      <c r="P55" s="259" t="s">
        <v>582</v>
      </c>
      <c r="R55" s="26">
        <v>1371</v>
      </c>
      <c r="S55" s="26">
        <v>1185.24</v>
      </c>
      <c r="U55" s="26">
        <v>1371</v>
      </c>
      <c r="V55" s="244">
        <v>66</v>
      </c>
      <c r="W55" s="16">
        <f>U55+V55</f>
        <v>1437</v>
      </c>
      <c r="X55" s="122">
        <f>IF(U55=0," ",(W55-U55)/U55)</f>
        <v>4.8140043763676151E-2</v>
      </c>
      <c r="Z55" s="117">
        <v>1437</v>
      </c>
      <c r="AA55" s="117">
        <v>1437</v>
      </c>
      <c r="AC55" s="259" t="s">
        <v>680</v>
      </c>
      <c r="AE55" s="26">
        <v>1437</v>
      </c>
      <c r="AF55" s="200">
        <v>1336.67</v>
      </c>
      <c r="AH55" s="26">
        <v>1437</v>
      </c>
      <c r="AI55" s="244">
        <v>68</v>
      </c>
      <c r="AJ55" s="16">
        <f>AH55+AI55</f>
        <v>1505</v>
      </c>
      <c r="AK55" s="122">
        <f>IF(AH55=0," ",(AJ55-AH55)/AH55)</f>
        <v>4.7320807237299929E-2</v>
      </c>
      <c r="AM55" s="117">
        <v>1505</v>
      </c>
      <c r="AN55" s="117">
        <v>1505</v>
      </c>
      <c r="AP55" s="259" t="s">
        <v>860</v>
      </c>
      <c r="AR55" s="26">
        <v>1505</v>
      </c>
      <c r="AS55" s="26">
        <v>1358.52</v>
      </c>
      <c r="AU55" s="26">
        <f>AR55</f>
        <v>1505</v>
      </c>
      <c r="AV55" s="244">
        <v>74</v>
      </c>
      <c r="AW55" s="16">
        <f>AU55+AV55</f>
        <v>1579</v>
      </c>
      <c r="AX55" s="122">
        <f>IF(AU55=0," ",(AW55-AU55)/AU55)</f>
        <v>4.9169435215946841E-2</v>
      </c>
      <c r="AZ55" s="117">
        <v>1572</v>
      </c>
      <c r="BA55" s="117">
        <v>1548</v>
      </c>
      <c r="BC55" s="259" t="s">
        <v>964</v>
      </c>
      <c r="BE55" s="26">
        <v>1548</v>
      </c>
      <c r="BF55" s="26">
        <v>800.4</v>
      </c>
      <c r="BH55" s="26">
        <v>1548</v>
      </c>
      <c r="BI55" s="244">
        <v>31</v>
      </c>
      <c r="BJ55" s="16">
        <f>BH55+BI55</f>
        <v>1579</v>
      </c>
      <c r="BK55" s="122">
        <f>IF(BH55=0," ",(BJ55-BH55)/BH55)</f>
        <v>2.0025839793281652E-2</v>
      </c>
      <c r="BM55" s="117">
        <v>1579</v>
      </c>
      <c r="BN55" s="117">
        <v>1579</v>
      </c>
      <c r="BP55" s="428" t="s">
        <v>1289</v>
      </c>
      <c r="BR55" s="117">
        <v>1579</v>
      </c>
      <c r="BS55" s="26"/>
      <c r="BU55" s="26">
        <v>1579</v>
      </c>
      <c r="BV55" s="244">
        <v>31</v>
      </c>
      <c r="BW55" s="576">
        <f>BU55+BV55</f>
        <v>1610</v>
      </c>
      <c r="BX55" s="577">
        <f>IF(BU55=0," ",(BW55-BU55)/BU55)</f>
        <v>1.9632678910702975E-2</v>
      </c>
      <c r="BZ55" s="166">
        <v>1610</v>
      </c>
      <c r="CA55" s="166">
        <v>1610</v>
      </c>
      <c r="CC55" s="765" t="s">
        <v>1278</v>
      </c>
      <c r="CE55" s="166">
        <v>1610</v>
      </c>
      <c r="CF55" s="166"/>
      <c r="CJ55" s="886"/>
      <c r="CK55" s="1"/>
      <c r="CO55" s="16"/>
    </row>
    <row r="56" spans="1:93" x14ac:dyDescent="0.3">
      <c r="A56" s="27"/>
      <c r="B56" s="8"/>
      <c r="C56" s="42"/>
      <c r="D56" s="42"/>
      <c r="E56" s="54"/>
      <c r="F56" s="8"/>
      <c r="G56" s="8" t="s">
        <v>116</v>
      </c>
      <c r="H56" s="28">
        <f t="shared" ref="H56" si="35">SUM(H55)</f>
        <v>1308</v>
      </c>
      <c r="I56" s="28">
        <f>SUM(I55)</f>
        <v>62.88</v>
      </c>
      <c r="J56" s="28">
        <f>SUM(J55)</f>
        <v>1370.88</v>
      </c>
      <c r="K56" s="123">
        <f>IF(H56=0," ",(J56-H56)/H56)</f>
        <v>4.8073394495412924E-2</v>
      </c>
      <c r="M56" s="28">
        <f>SUM(M55)</f>
        <v>1371</v>
      </c>
      <c r="N56" s="28">
        <f>SUM(N55)</f>
        <v>1371</v>
      </c>
      <c r="P56" s="139">
        <f>SUM(P55)</f>
        <v>0</v>
      </c>
      <c r="R56" s="28">
        <f>SUM(R55)</f>
        <v>1371</v>
      </c>
      <c r="S56" s="28">
        <f>SUM(S55)</f>
        <v>1185.24</v>
      </c>
      <c r="U56" s="28">
        <f>SUM(U55)</f>
        <v>1371</v>
      </c>
      <c r="V56" s="28">
        <f>SUM(V55)</f>
        <v>66</v>
      </c>
      <c r="W56" s="28">
        <f>SUM(W55)</f>
        <v>1437</v>
      </c>
      <c r="X56" s="123">
        <f>IF(U56=0," ",(W56-U56)/U56)</f>
        <v>4.8140043763676151E-2</v>
      </c>
      <c r="Z56" s="28">
        <f>SUM(Z55)</f>
        <v>1437</v>
      </c>
      <c r="AA56" s="28">
        <f>SUM(AA55)</f>
        <v>1437</v>
      </c>
      <c r="AC56" s="139"/>
      <c r="AE56" s="28">
        <f>SUM(AE55)</f>
        <v>1437</v>
      </c>
      <c r="AF56" s="201">
        <f>SUM(AF55)</f>
        <v>1336.67</v>
      </c>
      <c r="AH56" s="28">
        <v>1437</v>
      </c>
      <c r="AI56" s="28">
        <f>SUM(AI55)</f>
        <v>68</v>
      </c>
      <c r="AJ56" s="28">
        <f>SUM(AJ55)</f>
        <v>1505</v>
      </c>
      <c r="AK56" s="123">
        <f>IF(AH56=0," ",(AJ56-AH56)/AH56)</f>
        <v>4.7320807237299929E-2</v>
      </c>
      <c r="AM56" s="28">
        <f>SUM(AM55)</f>
        <v>1505</v>
      </c>
      <c r="AN56" s="28">
        <f>SUM(AN55)</f>
        <v>1505</v>
      </c>
      <c r="AP56" s="139"/>
      <c r="AR56" s="28">
        <f>SUM(AR55)</f>
        <v>1505</v>
      </c>
      <c r="AS56" s="28">
        <f>SUM(AS55)</f>
        <v>1358.52</v>
      </c>
      <c r="AU56" s="28">
        <f>SUM(AU55)</f>
        <v>1505</v>
      </c>
      <c r="AV56" s="28">
        <f>SUM(AV55)</f>
        <v>74</v>
      </c>
      <c r="AW56" s="28">
        <f>SUM(AW55)</f>
        <v>1579</v>
      </c>
      <c r="AX56" s="123">
        <f>IF(AU56=0," ",(AW56-AU56)/AU56)</f>
        <v>4.9169435215946841E-2</v>
      </c>
      <c r="AZ56" s="28">
        <f>SUM(AZ55)</f>
        <v>1572</v>
      </c>
      <c r="BA56" s="28">
        <f>SUM(BA55)</f>
        <v>1548</v>
      </c>
      <c r="BC56" s="139"/>
      <c r="BE56" s="28">
        <f>SUM(BE55)</f>
        <v>1548</v>
      </c>
      <c r="BF56" s="28">
        <f>SUM(BF55)</f>
        <v>800.4</v>
      </c>
      <c r="BH56" s="28">
        <f>SUM(BH55)</f>
        <v>1548</v>
      </c>
      <c r="BI56" s="28">
        <f>SUM(BI55)</f>
        <v>31</v>
      </c>
      <c r="BJ56" s="28">
        <f>SUM(BJ55)</f>
        <v>1579</v>
      </c>
      <c r="BK56" s="123">
        <f>IF(BH56=0," ",(BJ56-BH56)/BH56)</f>
        <v>2.0025839793281652E-2</v>
      </c>
      <c r="BM56" s="28">
        <f>SUM(BM55)</f>
        <v>1579</v>
      </c>
      <c r="BN56" s="28">
        <f>SUM(BN55)</f>
        <v>1579</v>
      </c>
      <c r="BP56" s="139"/>
      <c r="BR56" s="28">
        <f>SUM(BR55)</f>
        <v>1579</v>
      </c>
      <c r="BS56" s="28">
        <f>SUM(BS55)</f>
        <v>0</v>
      </c>
      <c r="BU56" s="28">
        <f>SUM(BU55)</f>
        <v>1579</v>
      </c>
      <c r="BV56" s="532">
        <f>SUM(BV55)</f>
        <v>31</v>
      </c>
      <c r="BW56" s="591">
        <f>SUM(BW55)</f>
        <v>1610</v>
      </c>
      <c r="BX56" s="579">
        <f>IF(BU56=0," ",(BW56-BU56)/BU56)</f>
        <v>1.9632678910702975E-2</v>
      </c>
      <c r="BZ56" s="591">
        <f>SUM(BZ55)</f>
        <v>1610</v>
      </c>
      <c r="CA56" s="591">
        <f>SUM(CA55)</f>
        <v>1610</v>
      </c>
      <c r="CC56" s="769"/>
      <c r="CE56" s="591">
        <f>SUM(CE55)</f>
        <v>1610</v>
      </c>
      <c r="CF56" s="591">
        <f>SUM(CF55)</f>
        <v>0</v>
      </c>
      <c r="CJ56" s="886"/>
      <c r="CK56" s="1"/>
      <c r="CO56" s="16"/>
    </row>
    <row r="57" spans="1:93" x14ac:dyDescent="0.3">
      <c r="H57" s="26"/>
      <c r="AS57" s="16"/>
      <c r="CJ57" s="886"/>
      <c r="CK57" s="1"/>
      <c r="CO57" s="16"/>
    </row>
    <row r="58" spans="1:93" x14ac:dyDescent="0.3">
      <c r="A58" s="11">
        <v>131</v>
      </c>
      <c r="B58" s="3" t="s">
        <v>2</v>
      </c>
      <c r="C58" s="37">
        <v>13105</v>
      </c>
      <c r="D58" s="37">
        <v>53000</v>
      </c>
      <c r="E58" s="49" t="s">
        <v>118</v>
      </c>
      <c r="F58" s="3" t="s">
        <v>2</v>
      </c>
      <c r="G58" s="3" t="s">
        <v>374</v>
      </c>
      <c r="H58" s="26">
        <v>10</v>
      </c>
      <c r="I58" s="117"/>
      <c r="J58" s="16">
        <f>H58+I58</f>
        <v>10</v>
      </c>
      <c r="K58" s="122">
        <f>IF(H58=0," ",(J58-H58)/H58)</f>
        <v>0</v>
      </c>
      <c r="M58" s="117">
        <v>10</v>
      </c>
      <c r="N58" s="117">
        <v>10</v>
      </c>
      <c r="P58" s="259" t="s">
        <v>547</v>
      </c>
      <c r="R58" s="26">
        <v>10</v>
      </c>
      <c r="S58" s="26">
        <v>0</v>
      </c>
      <c r="U58" s="26">
        <v>10</v>
      </c>
      <c r="V58" s="244">
        <v>0</v>
      </c>
      <c r="W58" s="16">
        <f>U58+V58</f>
        <v>10</v>
      </c>
      <c r="X58" s="122">
        <f>IF(U58=0," ",(W58-U58)/U58)</f>
        <v>0</v>
      </c>
      <c r="Z58" s="117">
        <v>10</v>
      </c>
      <c r="AA58" s="117">
        <v>10</v>
      </c>
      <c r="AC58" s="259"/>
      <c r="AE58" s="26">
        <v>10</v>
      </c>
      <c r="AF58" s="200">
        <v>0</v>
      </c>
      <c r="AH58" s="26">
        <v>10</v>
      </c>
      <c r="AI58" s="244"/>
      <c r="AJ58" s="16">
        <f>AH58+AI58</f>
        <v>10</v>
      </c>
      <c r="AK58" s="122">
        <f>IF(AH58=0," ",(AJ58-AH58)/AH58)</f>
        <v>0</v>
      </c>
      <c r="AM58" s="117">
        <v>10</v>
      </c>
      <c r="AN58" s="117">
        <v>10</v>
      </c>
      <c r="AP58" s="259"/>
      <c r="AR58" s="26">
        <v>10</v>
      </c>
      <c r="AS58" s="26"/>
      <c r="AU58" s="26">
        <f>AR58</f>
        <v>10</v>
      </c>
      <c r="AV58" s="244"/>
      <c r="AW58" s="16">
        <f>AU58+AV58</f>
        <v>10</v>
      </c>
      <c r="AX58" s="122">
        <f>IF(AU58=0," ",(AW58-AU58)/AU58)</f>
        <v>0</v>
      </c>
      <c r="AZ58" s="117"/>
      <c r="BA58" s="117"/>
      <c r="BC58" s="259"/>
      <c r="BE58" s="26"/>
      <c r="BF58" s="26">
        <v>0</v>
      </c>
      <c r="BH58" s="26"/>
      <c r="BI58" s="244"/>
      <c r="BJ58" s="16">
        <f>BH58+BI58</f>
        <v>0</v>
      </c>
      <c r="BK58" s="122" t="str">
        <f>IF(BH58=0," ",(BJ58-BH58)/BH58)</f>
        <v xml:space="preserve"> </v>
      </c>
      <c r="BM58" s="117"/>
      <c r="BN58" s="117"/>
      <c r="BP58" s="259"/>
      <c r="BR58" s="117"/>
      <c r="BS58" s="26"/>
      <c r="BU58" s="26"/>
      <c r="BV58" s="244"/>
      <c r="BW58" s="576">
        <f>BU58+BV58</f>
        <v>0</v>
      </c>
      <c r="BX58" s="577" t="str">
        <f>IF(BU58=0," ",(BW58-BU58)/BU58)</f>
        <v xml:space="preserve"> </v>
      </c>
      <c r="BZ58" s="166">
        <v>0</v>
      </c>
      <c r="CA58" s="166">
        <v>0</v>
      </c>
      <c r="CC58" s="753"/>
      <c r="CE58" s="166">
        <v>0</v>
      </c>
      <c r="CF58" s="166"/>
      <c r="CJ58" s="886"/>
      <c r="CK58" s="1"/>
      <c r="CO58" s="16"/>
    </row>
    <row r="59" spans="1:93" x14ac:dyDescent="0.3">
      <c r="A59" s="11">
        <v>131</v>
      </c>
      <c r="B59" s="3" t="s">
        <v>2</v>
      </c>
      <c r="C59" s="37">
        <v>13105</v>
      </c>
      <c r="D59" s="37">
        <v>53450</v>
      </c>
      <c r="E59" s="49" t="s">
        <v>118</v>
      </c>
      <c r="F59" s="3" t="s">
        <v>2</v>
      </c>
      <c r="G59" s="3" t="s">
        <v>375</v>
      </c>
      <c r="H59" s="26">
        <v>150</v>
      </c>
      <c r="I59" s="117"/>
      <c r="J59" s="16">
        <f>H59+I59</f>
        <v>150</v>
      </c>
      <c r="K59" s="122">
        <f>IF(H59=0," ",(J59-H59)/H59)</f>
        <v>0</v>
      </c>
      <c r="M59" s="117">
        <v>150</v>
      </c>
      <c r="N59" s="117">
        <v>150</v>
      </c>
      <c r="P59" s="259"/>
      <c r="R59" s="26">
        <v>150</v>
      </c>
      <c r="S59" s="26">
        <v>0</v>
      </c>
      <c r="U59" s="26">
        <v>150</v>
      </c>
      <c r="V59" s="244">
        <v>0</v>
      </c>
      <c r="W59" s="16">
        <f>U59+V59</f>
        <v>150</v>
      </c>
      <c r="X59" s="122">
        <f>IF(U59=0," ",(W59-U59)/U59)</f>
        <v>0</v>
      </c>
      <c r="Z59" s="117">
        <v>150</v>
      </c>
      <c r="AA59" s="117">
        <v>150</v>
      </c>
      <c r="AC59" s="259"/>
      <c r="AE59" s="26">
        <v>150</v>
      </c>
      <c r="AF59" s="200">
        <v>0</v>
      </c>
      <c r="AH59" s="26">
        <v>150</v>
      </c>
      <c r="AI59" s="244"/>
      <c r="AJ59" s="16">
        <f>AH59+AI59</f>
        <v>150</v>
      </c>
      <c r="AK59" s="122">
        <f>IF(AH59=0," ",(AJ59-AH59)/AH59)</f>
        <v>0</v>
      </c>
      <c r="AM59" s="117">
        <v>150</v>
      </c>
      <c r="AN59" s="117">
        <v>150</v>
      </c>
      <c r="AP59" s="259"/>
      <c r="AR59" s="26">
        <v>150</v>
      </c>
      <c r="AS59" s="26"/>
      <c r="AU59" s="26">
        <f>AR59</f>
        <v>150</v>
      </c>
      <c r="AV59" s="244"/>
      <c r="AW59" s="16">
        <f>AU59+AV59</f>
        <v>150</v>
      </c>
      <c r="AX59" s="122">
        <f>IF(AU59=0," ",(AW59-AU59)/AU59)</f>
        <v>0</v>
      </c>
      <c r="AZ59" s="117"/>
      <c r="BA59" s="117"/>
      <c r="BC59" s="259"/>
      <c r="BE59" s="26"/>
      <c r="BF59" s="26">
        <v>0</v>
      </c>
      <c r="BH59" s="26"/>
      <c r="BI59" s="244"/>
      <c r="BJ59" s="16">
        <f>BH59+BI59</f>
        <v>0</v>
      </c>
      <c r="BK59" s="122" t="str">
        <f>IF(BH59=0," ",(BJ59-BH59)/BH59)</f>
        <v xml:space="preserve"> </v>
      </c>
      <c r="BM59" s="117"/>
      <c r="BN59" s="117"/>
      <c r="BP59" s="259"/>
      <c r="BR59" s="117"/>
      <c r="BS59" s="26"/>
      <c r="BU59" s="26"/>
      <c r="BV59" s="244"/>
      <c r="BW59" s="576">
        <f>BU59+BV59</f>
        <v>0</v>
      </c>
      <c r="BX59" s="577" t="str">
        <f>IF(BU59=0," ",(BW59-BU59)/BU59)</f>
        <v xml:space="preserve"> </v>
      </c>
      <c r="BZ59" s="166">
        <v>0</v>
      </c>
      <c r="CA59" s="166">
        <v>0</v>
      </c>
      <c r="CC59" s="753"/>
      <c r="CE59" s="166">
        <v>0</v>
      </c>
      <c r="CF59" s="166"/>
      <c r="CJ59" s="886"/>
      <c r="CK59" s="1"/>
      <c r="CO59" s="16"/>
    </row>
    <row r="60" spans="1:93" x14ac:dyDescent="0.3">
      <c r="A60" s="11">
        <v>131</v>
      </c>
      <c r="B60" s="3" t="s">
        <v>2</v>
      </c>
      <c r="C60" s="37">
        <v>13105</v>
      </c>
      <c r="D60" s="37">
        <v>57300</v>
      </c>
      <c r="E60" s="49" t="s">
        <v>118</v>
      </c>
      <c r="F60" s="3" t="s">
        <v>2</v>
      </c>
      <c r="G60" s="3" t="s">
        <v>376</v>
      </c>
      <c r="H60" s="26">
        <v>185</v>
      </c>
      <c r="I60" s="117"/>
      <c r="J60" s="16">
        <f>H60+I60</f>
        <v>185</v>
      </c>
      <c r="K60" s="122">
        <f>IF(H60=0," ",(J60-H60)/H60)</f>
        <v>0</v>
      </c>
      <c r="M60" s="117">
        <v>185</v>
      </c>
      <c r="N60" s="117">
        <v>185</v>
      </c>
      <c r="P60" s="259"/>
      <c r="R60" s="26">
        <v>185</v>
      </c>
      <c r="S60" s="26">
        <v>180</v>
      </c>
      <c r="U60" s="26">
        <v>185</v>
      </c>
      <c r="V60" s="244">
        <v>0</v>
      </c>
      <c r="W60" s="16">
        <f>U60+V60</f>
        <v>185</v>
      </c>
      <c r="X60" s="122">
        <f>IF(U60=0," ",(W60-U60)/U60)</f>
        <v>0</v>
      </c>
      <c r="Z60" s="117">
        <v>185</v>
      </c>
      <c r="AA60" s="117">
        <v>185</v>
      </c>
      <c r="AC60" s="259"/>
      <c r="AE60" s="26">
        <v>185</v>
      </c>
      <c r="AF60" s="200">
        <v>180</v>
      </c>
      <c r="AH60" s="26">
        <v>185</v>
      </c>
      <c r="AI60" s="244"/>
      <c r="AJ60" s="16">
        <f>AH60+AI60</f>
        <v>185</v>
      </c>
      <c r="AK60" s="122">
        <f>IF(AH60=0," ",(AJ60-AH60)/AH60)</f>
        <v>0</v>
      </c>
      <c r="AM60" s="117">
        <v>185</v>
      </c>
      <c r="AN60" s="117">
        <v>185</v>
      </c>
      <c r="AP60" s="259"/>
      <c r="AR60" s="26">
        <v>185</v>
      </c>
      <c r="AS60" s="26">
        <v>180</v>
      </c>
      <c r="AU60" s="26">
        <f>AR60</f>
        <v>185</v>
      </c>
      <c r="AV60" s="244"/>
      <c r="AW60" s="16">
        <f>AU60+AV60</f>
        <v>185</v>
      </c>
      <c r="AX60" s="122">
        <f>IF(AU60=0," ",(AW60-AU60)/AU60)</f>
        <v>0</v>
      </c>
      <c r="AZ60" s="117">
        <v>200</v>
      </c>
      <c r="BA60" s="117">
        <v>200</v>
      </c>
      <c r="BC60" s="259"/>
      <c r="BE60" s="26">
        <v>200</v>
      </c>
      <c r="BF60" s="26">
        <v>0</v>
      </c>
      <c r="BH60" s="26">
        <v>200</v>
      </c>
      <c r="BI60" s="244"/>
      <c r="BJ60" s="16">
        <f>BH60+BI60</f>
        <v>200</v>
      </c>
      <c r="BK60" s="122">
        <f>IF(BH60=0," ",(BJ60-BH60)/BH60)</f>
        <v>0</v>
      </c>
      <c r="BM60" s="117">
        <v>200</v>
      </c>
      <c r="BN60" s="117">
        <v>200</v>
      </c>
      <c r="BP60" s="259"/>
      <c r="BR60" s="117">
        <v>200</v>
      </c>
      <c r="BS60" s="26">
        <v>180</v>
      </c>
      <c r="BU60" s="26">
        <v>200</v>
      </c>
      <c r="BV60" s="244"/>
      <c r="BW60" s="576">
        <f>BU60+BV60</f>
        <v>200</v>
      </c>
      <c r="BX60" s="577">
        <f>IF(BU60=0," ",(BW60-BU60)/BU60)</f>
        <v>0</v>
      </c>
      <c r="BZ60" s="166">
        <v>200</v>
      </c>
      <c r="CA60" s="166">
        <v>200</v>
      </c>
      <c r="CC60" s="753"/>
      <c r="CE60" s="166">
        <v>200</v>
      </c>
      <c r="CF60" s="166"/>
      <c r="CJ60" s="886"/>
      <c r="CK60" s="1"/>
      <c r="CO60" s="16"/>
    </row>
    <row r="61" spans="1:93" x14ac:dyDescent="0.3">
      <c r="A61" s="11">
        <v>131</v>
      </c>
      <c r="B61" s="3" t="s">
        <v>2</v>
      </c>
      <c r="C61" s="37">
        <v>13105</v>
      </c>
      <c r="D61" s="37">
        <v>57800</v>
      </c>
      <c r="E61" s="49" t="s">
        <v>118</v>
      </c>
      <c r="F61" s="3" t="s">
        <v>2</v>
      </c>
      <c r="G61" s="3" t="s">
        <v>377</v>
      </c>
      <c r="H61" s="26">
        <v>50</v>
      </c>
      <c r="I61" s="117"/>
      <c r="J61" s="16">
        <f>H61+I61</f>
        <v>50</v>
      </c>
      <c r="K61" s="122">
        <f>IF(H61=0," ",(J61-H61)/H61)</f>
        <v>0</v>
      </c>
      <c r="M61" s="117">
        <v>50</v>
      </c>
      <c r="N61" s="117">
        <v>50</v>
      </c>
      <c r="P61" s="259"/>
      <c r="R61" s="26">
        <v>50</v>
      </c>
      <c r="S61" s="26">
        <v>0</v>
      </c>
      <c r="U61" s="26">
        <v>50</v>
      </c>
      <c r="V61" s="244">
        <v>0</v>
      </c>
      <c r="W61" s="16">
        <f>U61+V61</f>
        <v>50</v>
      </c>
      <c r="X61" s="122">
        <f>IF(U61=0," ",(W61-U61)/U61)</f>
        <v>0</v>
      </c>
      <c r="Z61" s="117">
        <v>50</v>
      </c>
      <c r="AA61" s="117">
        <v>50</v>
      </c>
      <c r="AC61" s="259"/>
      <c r="AE61" s="26">
        <v>50</v>
      </c>
      <c r="AF61" s="200">
        <v>0</v>
      </c>
      <c r="AH61" s="26">
        <v>50</v>
      </c>
      <c r="AI61" s="244"/>
      <c r="AJ61" s="16">
        <f>AH61+AI61</f>
        <v>50</v>
      </c>
      <c r="AK61" s="122">
        <f>IF(AH61=0," ",(AJ61-AH61)/AH61)</f>
        <v>0</v>
      </c>
      <c r="AM61" s="117">
        <v>50</v>
      </c>
      <c r="AN61" s="117">
        <v>50</v>
      </c>
      <c r="AP61" s="259"/>
      <c r="AR61" s="26">
        <v>50</v>
      </c>
      <c r="AS61" s="26"/>
      <c r="AU61" s="26">
        <f>AR61</f>
        <v>50</v>
      </c>
      <c r="AV61" s="244"/>
      <c r="AW61" s="16">
        <f>AU61+AV61</f>
        <v>50</v>
      </c>
      <c r="AX61" s="122">
        <f>IF(AU61=0," ",(AW61-AU61)/AU61)</f>
        <v>0</v>
      </c>
      <c r="AZ61" s="117">
        <v>150</v>
      </c>
      <c r="BA61" s="117">
        <v>150</v>
      </c>
      <c r="BC61" s="259"/>
      <c r="BE61" s="26">
        <v>150</v>
      </c>
      <c r="BF61" s="26">
        <v>0</v>
      </c>
      <c r="BH61" s="26">
        <v>150</v>
      </c>
      <c r="BI61" s="244"/>
      <c r="BJ61" s="16">
        <f>BH61+BI61</f>
        <v>150</v>
      </c>
      <c r="BK61" s="122">
        <f>IF(BH61=0," ",(BJ61-BH61)/BH61)</f>
        <v>0</v>
      </c>
      <c r="BM61" s="117">
        <v>150</v>
      </c>
      <c r="BN61" s="117">
        <v>150</v>
      </c>
      <c r="BP61" s="259"/>
      <c r="BR61" s="117">
        <v>150</v>
      </c>
      <c r="BS61" s="26"/>
      <c r="BU61" s="26">
        <v>150</v>
      </c>
      <c r="BV61" s="244"/>
      <c r="BW61" s="576">
        <f>BU61+BV61</f>
        <v>150</v>
      </c>
      <c r="BX61" s="577">
        <f>IF(BU61=0," ",(BW61-BU61)/BU61)</f>
        <v>0</v>
      </c>
      <c r="BZ61" s="166">
        <v>150</v>
      </c>
      <c r="CA61" s="166">
        <v>150</v>
      </c>
      <c r="CC61" s="753"/>
      <c r="CE61" s="166">
        <v>150</v>
      </c>
      <c r="CF61" s="166"/>
      <c r="CJ61" s="886"/>
      <c r="CK61" s="1"/>
      <c r="CO61" s="16"/>
    </row>
    <row r="62" spans="1:93" x14ac:dyDescent="0.3">
      <c r="A62" s="27"/>
      <c r="B62" s="8"/>
      <c r="C62" s="42"/>
      <c r="D62" s="42"/>
      <c r="E62" s="54"/>
      <c r="F62" s="8"/>
      <c r="G62" s="8" t="s">
        <v>112</v>
      </c>
      <c r="H62" s="28">
        <f t="shared" ref="H62:J62" si="36">SUM(H58:H61)</f>
        <v>395</v>
      </c>
      <c r="I62" s="28">
        <f t="shared" si="36"/>
        <v>0</v>
      </c>
      <c r="J62" s="28">
        <f t="shared" si="36"/>
        <v>395</v>
      </c>
      <c r="K62" s="169">
        <f>IF(H62=0," ",(J62-H62)/H62)</f>
        <v>0</v>
      </c>
      <c r="M62" s="28">
        <f>SUM(M58:M61)</f>
        <v>395</v>
      </c>
      <c r="N62" s="28">
        <f>SUM(N58:N61)</f>
        <v>395</v>
      </c>
      <c r="P62" s="139">
        <f>SUM(P55:P61)</f>
        <v>0</v>
      </c>
      <c r="R62" s="28">
        <f t="shared" ref="R62:W62" si="37">SUM(R58:R61)</f>
        <v>395</v>
      </c>
      <c r="S62" s="28">
        <f t="shared" si="37"/>
        <v>180</v>
      </c>
      <c r="T62" s="28">
        <f t="shared" si="37"/>
        <v>0</v>
      </c>
      <c r="U62" s="28">
        <f t="shared" si="37"/>
        <v>395</v>
      </c>
      <c r="V62" s="28">
        <f t="shared" si="37"/>
        <v>0</v>
      </c>
      <c r="W62" s="28">
        <f t="shared" si="37"/>
        <v>395</v>
      </c>
      <c r="X62" s="169">
        <f>IF(U62=0," ",(W62-U62)/U62)</f>
        <v>0</v>
      </c>
      <c r="Z62" s="28">
        <f>SUM(Z58:Z61)</f>
        <v>395</v>
      </c>
      <c r="AA62" s="28">
        <f>SUM(AA58:AA61)</f>
        <v>395</v>
      </c>
      <c r="AC62" s="139"/>
      <c r="AE62" s="28">
        <f>SUM(AE58:AE61)</f>
        <v>395</v>
      </c>
      <c r="AF62" s="201">
        <f>SUM(AF58:AF61)</f>
        <v>180</v>
      </c>
      <c r="AH62" s="28">
        <v>395</v>
      </c>
      <c r="AI62" s="28">
        <f>SUM(AI58:AI61)</f>
        <v>0</v>
      </c>
      <c r="AJ62" s="28">
        <f>SUM(AJ58:AJ61)</f>
        <v>395</v>
      </c>
      <c r="AK62" s="123">
        <f>IF(AH62=0," ",(AJ62-AH62)/AH62)</f>
        <v>0</v>
      </c>
      <c r="AM62" s="28">
        <f>SUM(AM58:AM61)</f>
        <v>395</v>
      </c>
      <c r="AN62" s="28">
        <f>SUM(AN58:AN61)</f>
        <v>395</v>
      </c>
      <c r="AP62" s="139"/>
      <c r="AR62" s="28">
        <f>SUM(AR58:AR61)</f>
        <v>395</v>
      </c>
      <c r="AS62" s="28">
        <f>SUM(AS58:AS61)</f>
        <v>180</v>
      </c>
      <c r="AU62" s="28">
        <f>SUM(AU58:AU61)</f>
        <v>395</v>
      </c>
      <c r="AV62" s="28">
        <f>SUM(AV58:AV61)</f>
        <v>0</v>
      </c>
      <c r="AW62" s="28">
        <f>SUM(AW58:AW61)</f>
        <v>395</v>
      </c>
      <c r="AX62" s="123">
        <f>IF(AU62=0," ",(AW62-AU62)/AU62)</f>
        <v>0</v>
      </c>
      <c r="AZ62" s="28">
        <f>SUM(AZ58:AZ61)</f>
        <v>350</v>
      </c>
      <c r="BA62" s="28">
        <f>SUM(BA58:BA61)</f>
        <v>350</v>
      </c>
      <c r="BC62" s="139"/>
      <c r="BE62" s="28">
        <f>SUM(BE58:BE61)</f>
        <v>350</v>
      </c>
      <c r="BF62" s="28">
        <f>SUM(BF58:BF61)</f>
        <v>0</v>
      </c>
      <c r="BH62" s="28">
        <f>SUM(BH58:BH61)</f>
        <v>350</v>
      </c>
      <c r="BI62" s="28">
        <f>SUM(BI58:BI61)</f>
        <v>0</v>
      </c>
      <c r="BJ62" s="28">
        <f>SUM(BJ58:BJ61)</f>
        <v>350</v>
      </c>
      <c r="BK62" s="123">
        <f>IF(BH62=0," ",(BJ62-BH62)/BH62)</f>
        <v>0</v>
      </c>
      <c r="BM62" s="28">
        <f>SUM(BM58:BM61)</f>
        <v>350</v>
      </c>
      <c r="BN62" s="28">
        <f>SUM(BN58:BN61)</f>
        <v>350</v>
      </c>
      <c r="BP62" s="139"/>
      <c r="BR62" s="28">
        <f>SUM(BR58:BR61)</f>
        <v>350</v>
      </c>
      <c r="BS62" s="28">
        <f>SUM(BS58:BS61)</f>
        <v>180</v>
      </c>
      <c r="BU62" s="28">
        <f>SUM(BU58:BU61)</f>
        <v>350</v>
      </c>
      <c r="BV62" s="532">
        <f>SUM(BV58:BV61)</f>
        <v>0</v>
      </c>
      <c r="BW62" s="591">
        <f>SUM(BW58:BW61)</f>
        <v>350</v>
      </c>
      <c r="BX62" s="579">
        <f>IF(BU62=0," ",(BW62-BU62)/BU62)</f>
        <v>0</v>
      </c>
      <c r="BZ62" s="591">
        <f>SUM(BZ58:BZ61)</f>
        <v>350</v>
      </c>
      <c r="CA62" s="591">
        <f>SUM(CA58:CA61)</f>
        <v>350</v>
      </c>
      <c r="CC62" s="769"/>
      <c r="CE62" s="591">
        <f>SUM(CE58:CE61)</f>
        <v>350</v>
      </c>
      <c r="CF62" s="591">
        <f>SUM(CF58:CF61)</f>
        <v>0</v>
      </c>
      <c r="CJ62" s="886"/>
      <c r="CK62" s="1"/>
      <c r="CO62" s="16"/>
    </row>
    <row r="63" spans="1:93" s="1" customFormat="1" x14ac:dyDescent="0.3">
      <c r="A63" s="29"/>
      <c r="B63" s="9"/>
      <c r="C63" s="43"/>
      <c r="D63" s="43"/>
      <c r="E63" s="46"/>
      <c r="F63" s="9"/>
      <c r="G63" s="9"/>
      <c r="H63" s="30"/>
      <c r="I63" s="30"/>
      <c r="J63" s="30"/>
      <c r="K63" s="126"/>
      <c r="M63" s="30"/>
      <c r="N63" s="30"/>
      <c r="P63" s="140"/>
      <c r="R63" s="30"/>
      <c r="S63" s="30"/>
      <c r="U63" s="30"/>
      <c r="V63" s="30"/>
      <c r="W63" s="30"/>
      <c r="X63" s="126"/>
      <c r="Z63" s="30"/>
      <c r="AA63" s="30"/>
      <c r="AC63" s="140"/>
      <c r="AE63" s="30"/>
      <c r="AF63" s="174"/>
      <c r="AH63" s="30"/>
      <c r="AI63" s="30"/>
      <c r="AJ63" s="30"/>
      <c r="AK63" s="126"/>
      <c r="AM63" s="30"/>
      <c r="AN63" s="30"/>
      <c r="AP63" s="140"/>
      <c r="AR63" s="30"/>
      <c r="AS63" s="30"/>
      <c r="AU63" s="30"/>
      <c r="AV63" s="30"/>
      <c r="AW63" s="30"/>
      <c r="AX63" s="126"/>
      <c r="AZ63" s="30"/>
      <c r="BA63" s="30"/>
      <c r="BC63" s="140"/>
      <c r="BE63" s="30"/>
      <c r="BF63" s="30"/>
      <c r="BH63" s="30"/>
      <c r="BI63" s="30"/>
      <c r="BJ63" s="30"/>
      <c r="BK63" s="126"/>
      <c r="BM63" s="30"/>
      <c r="BN63" s="30"/>
      <c r="BP63" s="140"/>
      <c r="BR63" s="30"/>
      <c r="BS63" s="30"/>
      <c r="BU63" s="30"/>
      <c r="BV63" s="26"/>
      <c r="BW63" s="305"/>
      <c r="BX63" s="593"/>
      <c r="BY63" s="573"/>
      <c r="BZ63" s="305"/>
      <c r="CA63" s="305"/>
      <c r="CB63" s="573"/>
      <c r="CC63" s="752"/>
      <c r="CD63" s="573"/>
      <c r="CE63" s="305"/>
      <c r="CF63" s="305"/>
      <c r="CH63" s="812"/>
      <c r="CI63" s="812"/>
      <c r="CJ63" s="886"/>
      <c r="CO63" s="16"/>
    </row>
    <row r="64" spans="1:93" x14ac:dyDescent="0.3">
      <c r="A64" s="11">
        <v>131</v>
      </c>
      <c r="B64" s="3" t="s">
        <v>2</v>
      </c>
      <c r="C64" s="37">
        <v>13105</v>
      </c>
      <c r="D64" s="37">
        <v>57999</v>
      </c>
      <c r="E64" s="49" t="s">
        <v>611</v>
      </c>
      <c r="F64" s="3" t="s">
        <v>2</v>
      </c>
      <c r="G64" s="167" t="s">
        <v>612</v>
      </c>
      <c r="H64" s="26"/>
      <c r="I64" s="117"/>
      <c r="J64" s="16">
        <f>H64+I64</f>
        <v>0</v>
      </c>
      <c r="K64" s="122" t="str">
        <f>IF(H64=0," ",(J64-H64)/H64)</f>
        <v xml:space="preserve"> </v>
      </c>
      <c r="M64" s="117">
        <v>100000</v>
      </c>
      <c r="N64" s="117">
        <v>100000</v>
      </c>
      <c r="P64" s="259"/>
      <c r="R64" s="26">
        <v>100000</v>
      </c>
      <c r="S64" s="26">
        <v>0</v>
      </c>
      <c r="U64" s="26">
        <v>100000</v>
      </c>
      <c r="V64" s="244">
        <v>0</v>
      </c>
      <c r="W64" s="16">
        <f>U64+V64</f>
        <v>100000</v>
      </c>
      <c r="X64" s="122">
        <f>IF(U64=0," ",(W64-U64)/U64)</f>
        <v>0</v>
      </c>
      <c r="Z64" s="117">
        <v>100000</v>
      </c>
      <c r="AA64" s="117">
        <v>100000</v>
      </c>
      <c r="AC64" s="259"/>
      <c r="AE64" s="269">
        <v>100000</v>
      </c>
      <c r="AF64" s="273"/>
      <c r="AH64" s="26">
        <v>100000</v>
      </c>
      <c r="AI64" s="244"/>
      <c r="AJ64" s="16">
        <f>AH64+AI64</f>
        <v>100000</v>
      </c>
      <c r="AK64" s="122">
        <f>IF(AH64=0," ",(AJ64-AH64)/AH64)</f>
        <v>0</v>
      </c>
      <c r="AM64" s="117">
        <v>100000</v>
      </c>
      <c r="AN64" s="117">
        <v>100000</v>
      </c>
      <c r="AP64" s="259"/>
      <c r="AR64" s="26">
        <v>100000</v>
      </c>
      <c r="AS64" s="26">
        <v>0</v>
      </c>
      <c r="AU64" s="26">
        <f>AR64</f>
        <v>100000</v>
      </c>
      <c r="AV64" s="244"/>
      <c r="AW64" s="16">
        <f>AU64+AV64</f>
        <v>100000</v>
      </c>
      <c r="AX64" s="122">
        <f>IF(AU64=0," ",(AW64-AU64)/AU64)</f>
        <v>0</v>
      </c>
      <c r="AZ64" s="117">
        <v>100000</v>
      </c>
      <c r="BA64" s="117">
        <v>100000</v>
      </c>
      <c r="BC64" s="259"/>
      <c r="BE64" s="26">
        <v>100000</v>
      </c>
      <c r="BF64" s="26">
        <v>0</v>
      </c>
      <c r="BH64" s="26">
        <v>100000</v>
      </c>
      <c r="BI64" s="244"/>
      <c r="BJ64" s="16">
        <f>BH64+BI64</f>
        <v>100000</v>
      </c>
      <c r="BK64" s="122">
        <f>IF(BH64=0," ",(BJ64-BH64)/BH64)</f>
        <v>0</v>
      </c>
      <c r="BM64" s="117">
        <v>100000</v>
      </c>
      <c r="BN64" s="117">
        <v>100000</v>
      </c>
      <c r="BP64" s="259"/>
      <c r="BR64" s="117">
        <v>100000</v>
      </c>
      <c r="BS64" s="26"/>
      <c r="BU64" s="26">
        <v>100000</v>
      </c>
      <c r="BV64" s="244"/>
      <c r="BW64" s="576">
        <f>BU64+BV64</f>
        <v>100000</v>
      </c>
      <c r="BX64" s="577">
        <f>IF(BU64=0," ",(BW64-BU64)/BU64)</f>
        <v>0</v>
      </c>
      <c r="BZ64" s="166">
        <v>100000</v>
      </c>
      <c r="CA64" s="166">
        <v>100000</v>
      </c>
      <c r="CC64" s="753"/>
      <c r="CE64" s="166">
        <v>100000</v>
      </c>
      <c r="CF64" s="166"/>
      <c r="CJ64" s="886"/>
      <c r="CK64" s="1"/>
      <c r="CO64" s="16"/>
    </row>
    <row r="65" spans="1:93" x14ac:dyDescent="0.3">
      <c r="A65" s="27"/>
      <c r="B65" s="8"/>
      <c r="C65" s="42"/>
      <c r="D65" s="42"/>
      <c r="E65" s="54"/>
      <c r="F65" s="8"/>
      <c r="G65" s="8" t="s">
        <v>612</v>
      </c>
      <c r="H65" s="28">
        <f>SUM(H64)</f>
        <v>0</v>
      </c>
      <c r="I65" s="28">
        <f>SUM(I64)</f>
        <v>0</v>
      </c>
      <c r="J65" s="28">
        <f>SUM(J64)</f>
        <v>0</v>
      </c>
      <c r="K65" s="169" t="str">
        <f>IF(H65=0," ",(J65-H65)/H65)</f>
        <v xml:space="preserve"> </v>
      </c>
      <c r="M65" s="28">
        <f>SUM(M64)</f>
        <v>100000</v>
      </c>
      <c r="N65" s="28">
        <f>SUM(N64)</f>
        <v>100000</v>
      </c>
      <c r="P65" s="139">
        <f>SUM(P58:P64)</f>
        <v>0</v>
      </c>
      <c r="R65" s="28">
        <f>SUM(R64)</f>
        <v>100000</v>
      </c>
      <c r="S65" s="28">
        <f>SUM(S64)</f>
        <v>0</v>
      </c>
      <c r="U65" s="28">
        <f>SUM(U64)</f>
        <v>100000</v>
      </c>
      <c r="V65" s="28">
        <f>SUM(V64)</f>
        <v>0</v>
      </c>
      <c r="W65" s="28">
        <f>SUM(W64)</f>
        <v>100000</v>
      </c>
      <c r="X65" s="169">
        <f>IF(U65=0," ",(W65-U65)/U65)</f>
        <v>0</v>
      </c>
      <c r="Z65" s="28">
        <f>SUM(Z64)</f>
        <v>100000</v>
      </c>
      <c r="AA65" s="28">
        <f>SUM(AA64)</f>
        <v>100000</v>
      </c>
      <c r="AC65" s="139"/>
      <c r="AE65" s="28">
        <f>SUM(AE64)</f>
        <v>100000</v>
      </c>
      <c r="AF65" s="201">
        <f>SUM(AF64)</f>
        <v>0</v>
      </c>
      <c r="AH65" s="28">
        <v>100000</v>
      </c>
      <c r="AI65" s="28">
        <f>SUM(AI64)</f>
        <v>0</v>
      </c>
      <c r="AJ65" s="28">
        <f>SUM(AJ64)</f>
        <v>100000</v>
      </c>
      <c r="AK65" s="123">
        <f>IF(AH65=0," ",(AJ65-AH65)/AH65)</f>
        <v>0</v>
      </c>
      <c r="AM65" s="28">
        <f>SUM(AM64)</f>
        <v>100000</v>
      </c>
      <c r="AN65" s="28">
        <f>SUM(AN64)</f>
        <v>100000</v>
      </c>
      <c r="AP65" s="139"/>
      <c r="AR65" s="28">
        <f>SUM(AR64)</f>
        <v>100000</v>
      </c>
      <c r="AS65" s="28">
        <f>SUM(AS64)</f>
        <v>0</v>
      </c>
      <c r="AU65" s="28">
        <f>SUM(AU64)</f>
        <v>100000</v>
      </c>
      <c r="AV65" s="28">
        <f>SUM(AV64)</f>
        <v>0</v>
      </c>
      <c r="AW65" s="28">
        <f>SUM(AW64)</f>
        <v>100000</v>
      </c>
      <c r="AX65" s="123">
        <f>IF(AU65=0," ",(AW65-AU65)/AU65)</f>
        <v>0</v>
      </c>
      <c r="AZ65" s="28">
        <f>SUM(AZ64)</f>
        <v>100000</v>
      </c>
      <c r="BA65" s="28">
        <f>SUM(BA64)</f>
        <v>100000</v>
      </c>
      <c r="BC65" s="139"/>
      <c r="BE65" s="28">
        <f>SUM(BE64)</f>
        <v>100000</v>
      </c>
      <c r="BF65" s="28">
        <f>SUM(BF64)</f>
        <v>0</v>
      </c>
      <c r="BH65" s="28">
        <f>SUM(BH64)</f>
        <v>100000</v>
      </c>
      <c r="BI65" s="28">
        <f>SUM(BI64)</f>
        <v>0</v>
      </c>
      <c r="BJ65" s="28">
        <f>SUM(BJ64)</f>
        <v>100000</v>
      </c>
      <c r="BK65" s="123">
        <f>IF(BH65=0," ",(BJ65-BH65)/BH65)</f>
        <v>0</v>
      </c>
      <c r="BM65" s="28">
        <f>SUM(BM64)</f>
        <v>100000</v>
      </c>
      <c r="BN65" s="28">
        <f>SUM(BN64)</f>
        <v>100000</v>
      </c>
      <c r="BP65" s="139"/>
      <c r="BR65" s="28">
        <f>SUM(BR64)</f>
        <v>100000</v>
      </c>
      <c r="BS65" s="28">
        <f>SUM(BS64)</f>
        <v>0</v>
      </c>
      <c r="BU65" s="28">
        <f>SUM(BU64)</f>
        <v>100000</v>
      </c>
      <c r="BV65" s="532">
        <f>SUM(BV64)</f>
        <v>0</v>
      </c>
      <c r="BW65" s="591">
        <f>SUM(BW64)</f>
        <v>100000</v>
      </c>
      <c r="BX65" s="579">
        <f>IF(BU65=0," ",(BW65-BU65)/BU65)</f>
        <v>0</v>
      </c>
      <c r="BZ65" s="591">
        <f>SUM(BZ64)</f>
        <v>100000</v>
      </c>
      <c r="CA65" s="591">
        <f>SUM(CA64)</f>
        <v>100000</v>
      </c>
      <c r="CC65" s="769"/>
      <c r="CE65" s="591">
        <f>SUM(CE64)</f>
        <v>100000</v>
      </c>
      <c r="CF65" s="591">
        <f>SUM(CF64)</f>
        <v>0</v>
      </c>
      <c r="CJ65" s="886"/>
      <c r="CK65" s="1"/>
      <c r="CO65" s="16"/>
    </row>
    <row r="66" spans="1:93" s="1" customFormat="1" x14ac:dyDescent="0.3">
      <c r="A66" s="29"/>
      <c r="B66" s="9"/>
      <c r="C66" s="43"/>
      <c r="D66" s="43"/>
      <c r="E66" s="46"/>
      <c r="F66" s="9"/>
      <c r="G66" s="9"/>
      <c r="H66" s="30"/>
      <c r="I66" s="30"/>
      <c r="J66" s="30"/>
      <c r="K66" s="126"/>
      <c r="M66" s="30"/>
      <c r="N66" s="30"/>
      <c r="P66" s="140"/>
      <c r="R66" s="30"/>
      <c r="S66" s="30"/>
      <c r="U66" s="30"/>
      <c r="V66" s="30"/>
      <c r="W66" s="30"/>
      <c r="X66" s="126"/>
      <c r="Z66" s="30"/>
      <c r="AA66" s="30"/>
      <c r="AC66" s="140"/>
      <c r="AE66" s="30"/>
      <c r="AF66" s="174"/>
      <c r="AH66" s="30"/>
      <c r="AI66" s="30"/>
      <c r="AJ66" s="30"/>
      <c r="AK66" s="126"/>
      <c r="AM66" s="30"/>
      <c r="AN66" s="30"/>
      <c r="AP66" s="140"/>
      <c r="AR66" s="30"/>
      <c r="AS66" s="30"/>
      <c r="AU66" s="30"/>
      <c r="AV66" s="30"/>
      <c r="AW66" s="30"/>
      <c r="AX66" s="126"/>
      <c r="AZ66" s="30"/>
      <c r="BA66" s="30"/>
      <c r="BC66" s="140"/>
      <c r="BE66" s="30"/>
      <c r="BF66" s="30"/>
      <c r="BH66" s="30"/>
      <c r="BI66" s="30"/>
      <c r="BJ66" s="30"/>
      <c r="BK66" s="126"/>
      <c r="BM66" s="30"/>
      <c r="BN66" s="30"/>
      <c r="BP66" s="140"/>
      <c r="BR66" s="30"/>
      <c r="BS66" s="30"/>
      <c r="BU66" s="30"/>
      <c r="BV66" s="26"/>
      <c r="BW66" s="305"/>
      <c r="BX66" s="593"/>
      <c r="BY66" s="573"/>
      <c r="BZ66" s="305"/>
      <c r="CA66" s="305"/>
      <c r="CB66" s="573"/>
      <c r="CC66" s="752"/>
      <c r="CD66" s="573"/>
      <c r="CE66" s="305"/>
      <c r="CF66" s="305"/>
      <c r="CH66" s="812"/>
      <c r="CI66" s="812"/>
      <c r="CJ66" s="886"/>
      <c r="CO66" s="16"/>
    </row>
    <row r="67" spans="1:93" s="1" customFormat="1" x14ac:dyDescent="0.3">
      <c r="A67" s="20"/>
      <c r="B67" s="5"/>
      <c r="C67" s="39"/>
      <c r="D67" s="39"/>
      <c r="E67" s="51"/>
      <c r="F67" s="5"/>
      <c r="G67" s="21" t="s">
        <v>113</v>
      </c>
      <c r="H67" s="22">
        <f>H65+H62+H56</f>
        <v>1703</v>
      </c>
      <c r="I67" s="22">
        <f>I65+I62+I56</f>
        <v>62.88</v>
      </c>
      <c r="J67" s="22">
        <f>J65+J62+J56</f>
        <v>1765.88</v>
      </c>
      <c r="K67" s="168">
        <f>IF(H67=0," ",(J67-H67)/H67)</f>
        <v>3.6923076923076989E-2</v>
      </c>
      <c r="M67" s="22">
        <f>M65+M62+M56</f>
        <v>101766</v>
      </c>
      <c r="N67" s="22">
        <f>N65+N62+N56</f>
        <v>101766</v>
      </c>
      <c r="P67" s="136">
        <f>P56+P65</f>
        <v>0</v>
      </c>
      <c r="R67" s="22">
        <f>R65+R62+R56</f>
        <v>101766</v>
      </c>
      <c r="S67" s="22">
        <f>S65+S62+S56</f>
        <v>1365.24</v>
      </c>
      <c r="U67" s="22">
        <f>U65+U62+U56</f>
        <v>101766</v>
      </c>
      <c r="V67" s="22">
        <f>V65+V62+V56</f>
        <v>66</v>
      </c>
      <c r="W67" s="22">
        <f>W65+W62+W56</f>
        <v>101832</v>
      </c>
      <c r="X67" s="168">
        <f>IF(U67=0," ",(W67-U67)/U67)</f>
        <v>6.4854666588054955E-4</v>
      </c>
      <c r="Z67" s="22">
        <f>Z65+Z62+Z56</f>
        <v>101832</v>
      </c>
      <c r="AA67" s="22">
        <f>AA65+AA62+AA56</f>
        <v>101832</v>
      </c>
      <c r="AC67" s="136"/>
      <c r="AE67" s="22">
        <f>AE65+AE62+AE56</f>
        <v>101832</v>
      </c>
      <c r="AF67" s="199">
        <f>AF65+AF62+AF56</f>
        <v>1516.67</v>
      </c>
      <c r="AH67" s="22">
        <v>101832</v>
      </c>
      <c r="AI67" s="22">
        <f>AI65+AI62+AI56</f>
        <v>68</v>
      </c>
      <c r="AJ67" s="22">
        <f>AJ65+AJ62+AJ56</f>
        <v>101900</v>
      </c>
      <c r="AK67" s="168">
        <f>IF(AH67=0," ",(AJ67-AH67)/AH67)</f>
        <v>6.6776651740120985E-4</v>
      </c>
      <c r="AM67" s="22">
        <f>AM65+AM62+AM56</f>
        <v>101900</v>
      </c>
      <c r="AN67" s="22">
        <f>AN65+AN62+AN56</f>
        <v>101900</v>
      </c>
      <c r="AP67" s="136"/>
      <c r="AR67" s="22">
        <f>AR65+AR62+AR56</f>
        <v>101900</v>
      </c>
      <c r="AS67" s="22">
        <f>AS65+AS62+AS56</f>
        <v>1538.52</v>
      </c>
      <c r="AU67" s="22">
        <f>AU65+AU62+AU56</f>
        <v>101900</v>
      </c>
      <c r="AV67" s="22">
        <f>AV65+AV62+AV56</f>
        <v>74</v>
      </c>
      <c r="AW67" s="22">
        <f>AW65+AW62+AW56</f>
        <v>101974</v>
      </c>
      <c r="AX67" s="168">
        <f>IF(AU67=0," ",(AW67-AU67)/AU67)</f>
        <v>7.2620215897939151E-4</v>
      </c>
      <c r="AZ67" s="22">
        <f>AZ65+AZ62+AZ56</f>
        <v>101922</v>
      </c>
      <c r="BA67" s="22">
        <f>BA65+BA62+BA56</f>
        <v>101898</v>
      </c>
      <c r="BC67" s="136"/>
      <c r="BE67" s="22">
        <f>BE65+BE62+BE56</f>
        <v>101898</v>
      </c>
      <c r="BF67" s="22">
        <f>BF65+BF62+BF56</f>
        <v>800.4</v>
      </c>
      <c r="BH67" s="22">
        <f>BH65+BH62+BH56</f>
        <v>101898</v>
      </c>
      <c r="BI67" s="22">
        <f>BI65+BI62+BI56</f>
        <v>31</v>
      </c>
      <c r="BJ67" s="22">
        <f>BJ65+BJ62+BJ56</f>
        <v>101929</v>
      </c>
      <c r="BK67" s="168">
        <f>IF(BH67=0," ",(BJ67-BH67)/BH67)</f>
        <v>3.0422579442187283E-4</v>
      </c>
      <c r="BM67" s="22">
        <f>BM65+BM62+BM56</f>
        <v>101929</v>
      </c>
      <c r="BN67" s="22">
        <f>BN65+BN62+BN56</f>
        <v>101929</v>
      </c>
      <c r="BP67" s="136"/>
      <c r="BR67" s="22">
        <f>BR65+BR62+BR56</f>
        <v>101929</v>
      </c>
      <c r="BS67" s="22">
        <f>BS65+BS62+BS56</f>
        <v>180</v>
      </c>
      <c r="BU67" s="22">
        <f>BU65+BU62+BU56</f>
        <v>101929</v>
      </c>
      <c r="BV67" s="531">
        <f>BV65+BV62+BV56</f>
        <v>31</v>
      </c>
      <c r="BW67" s="581">
        <f>BW65+BW62+BW56</f>
        <v>101960</v>
      </c>
      <c r="BX67" s="594">
        <f>IF(BU67=0," ",(BW67-BU67)/BU67)</f>
        <v>3.0413326923642926E-4</v>
      </c>
      <c r="BY67" s="573"/>
      <c r="BZ67" s="581">
        <f>BZ65+BZ62+BZ56</f>
        <v>101960</v>
      </c>
      <c r="CA67" s="581">
        <f>CA65+CA62+CA56</f>
        <v>101960</v>
      </c>
      <c r="CB67" s="573"/>
      <c r="CC67" s="764"/>
      <c r="CD67" s="573"/>
      <c r="CE67" s="581">
        <f>CE65+CE62+CE56</f>
        <v>101960</v>
      </c>
      <c r="CF67" s="581">
        <f>CF65+CF62+CF56</f>
        <v>0</v>
      </c>
      <c r="CH67" s="812"/>
      <c r="CI67" s="812"/>
      <c r="CJ67" s="886"/>
      <c r="CO67" s="16"/>
    </row>
    <row r="68" spans="1:93" ht="20.100000000000001" customHeight="1" x14ac:dyDescent="0.3">
      <c r="AS68" s="16"/>
      <c r="CJ68" s="886"/>
      <c r="CK68" s="1"/>
      <c r="CO68" s="16"/>
    </row>
    <row r="69" spans="1:93" s="1" customFormat="1" ht="15.6" x14ac:dyDescent="0.3">
      <c r="A69" s="14" t="s">
        <v>134</v>
      </c>
      <c r="B69" s="2"/>
      <c r="C69" s="36"/>
      <c r="D69" s="36"/>
      <c r="E69" s="48"/>
      <c r="F69" s="2"/>
      <c r="G69" s="2"/>
      <c r="H69" s="15"/>
      <c r="I69" s="15"/>
      <c r="J69" s="15"/>
      <c r="K69" s="121"/>
      <c r="M69" s="15"/>
      <c r="N69" s="15"/>
      <c r="P69" s="133"/>
      <c r="R69" s="15"/>
      <c r="S69" s="15"/>
      <c r="U69" s="15"/>
      <c r="V69" s="15"/>
      <c r="W69" s="15"/>
      <c r="X69" s="121"/>
      <c r="Z69" s="15"/>
      <c r="AA69" s="15"/>
      <c r="AC69" s="133"/>
      <c r="AE69" s="15"/>
      <c r="AF69" s="196"/>
      <c r="AH69" s="15"/>
      <c r="AI69" s="15"/>
      <c r="AJ69" s="15"/>
      <c r="AK69" s="121"/>
      <c r="AM69" s="15"/>
      <c r="AN69" s="15"/>
      <c r="AP69" s="133"/>
      <c r="AR69" s="15"/>
      <c r="AS69" s="15"/>
      <c r="AU69" s="15"/>
      <c r="AV69" s="15"/>
      <c r="AW69" s="15"/>
      <c r="AX69" s="121"/>
      <c r="AZ69" s="15"/>
      <c r="BA69" s="15"/>
      <c r="BC69" s="133"/>
      <c r="BE69" s="15"/>
      <c r="BF69" s="15"/>
      <c r="BH69" s="15"/>
      <c r="BI69" s="15"/>
      <c r="BJ69" s="15"/>
      <c r="BK69" s="121"/>
      <c r="BM69" s="15"/>
      <c r="BN69" s="15"/>
      <c r="BP69" s="234"/>
      <c r="BR69" s="15"/>
      <c r="BS69" s="15"/>
      <c r="BU69" s="15"/>
      <c r="BV69" s="529"/>
      <c r="BW69" s="574"/>
      <c r="BX69" s="575"/>
      <c r="BY69" s="573"/>
      <c r="BZ69" s="574"/>
      <c r="CA69" s="574"/>
      <c r="CB69" s="573"/>
      <c r="CC69" s="761"/>
      <c r="CD69" s="573"/>
      <c r="CE69" s="574"/>
      <c r="CF69" s="574"/>
      <c r="CH69" s="812"/>
      <c r="CI69" s="812"/>
      <c r="CJ69" s="886"/>
      <c r="CO69" s="16"/>
    </row>
    <row r="70" spans="1:93" x14ac:dyDescent="0.3">
      <c r="A70" s="11">
        <v>135</v>
      </c>
      <c r="B70" s="3" t="s">
        <v>2</v>
      </c>
      <c r="C70" s="37">
        <v>13501</v>
      </c>
      <c r="D70" s="37">
        <v>51120</v>
      </c>
      <c r="E70" s="49" t="s">
        <v>119</v>
      </c>
      <c r="F70" s="3" t="s">
        <v>2</v>
      </c>
      <c r="G70" s="3" t="s">
        <v>23</v>
      </c>
      <c r="H70" s="26">
        <v>89910</v>
      </c>
      <c r="I70" s="244">
        <v>3982</v>
      </c>
      <c r="J70" s="16">
        <f>H70+I70</f>
        <v>93892</v>
      </c>
      <c r="K70" s="122">
        <f>IF(H70=0," ",(J70-H70)/H70)</f>
        <v>4.4288733177622067E-2</v>
      </c>
      <c r="M70" s="117">
        <v>93892</v>
      </c>
      <c r="N70" s="117">
        <v>93892</v>
      </c>
      <c r="P70" s="259" t="s">
        <v>519</v>
      </c>
      <c r="R70" s="26">
        <v>93892</v>
      </c>
      <c r="S70" s="26">
        <v>93891.199999999997</v>
      </c>
      <c r="U70" s="26">
        <v>93892</v>
      </c>
      <c r="V70" s="244">
        <v>4513</v>
      </c>
      <c r="W70" s="16">
        <f>U70+V70</f>
        <v>98405</v>
      </c>
      <c r="X70" s="122">
        <f>IF(U70=0," ",(W70-U70)/U70)</f>
        <v>4.8065862906317897E-2</v>
      </c>
      <c r="Z70" s="117">
        <v>98405</v>
      </c>
      <c r="AA70" s="117">
        <v>98405</v>
      </c>
      <c r="AC70" s="259" t="s">
        <v>652</v>
      </c>
      <c r="AE70" s="26">
        <v>98405</v>
      </c>
      <c r="AF70" s="200">
        <v>98404.800000000003</v>
      </c>
      <c r="AH70" s="26">
        <v>98405</v>
      </c>
      <c r="AI70" s="244">
        <v>5515</v>
      </c>
      <c r="AJ70" s="16">
        <f>AH70+AI70</f>
        <v>103920</v>
      </c>
      <c r="AK70" s="122">
        <f>IF(AH70=0," ",(AJ70-AH70)/AH70)</f>
        <v>5.6043900208322749E-2</v>
      </c>
      <c r="AM70" s="117">
        <v>103920</v>
      </c>
      <c r="AN70" s="117">
        <v>103920</v>
      </c>
      <c r="AP70" s="259" t="s">
        <v>783</v>
      </c>
      <c r="AR70" s="26">
        <v>103920</v>
      </c>
      <c r="AS70" s="26">
        <v>103919.67999999999</v>
      </c>
      <c r="AU70" s="26">
        <f>AR70</f>
        <v>103920</v>
      </c>
      <c r="AV70" s="244">
        <v>4573</v>
      </c>
      <c r="AW70" s="16">
        <f>AU70+AV70</f>
        <v>108493</v>
      </c>
      <c r="AX70" s="122">
        <f>IF(AU70=0," ",(AW70-AU70)/AU70)</f>
        <v>4.4005003849114703E-2</v>
      </c>
      <c r="AZ70" s="117">
        <v>108075</v>
      </c>
      <c r="BA70" s="117">
        <v>106363</v>
      </c>
      <c r="BC70" s="259" t="s">
        <v>965</v>
      </c>
      <c r="BE70" s="26">
        <v>106363</v>
      </c>
      <c r="BF70" s="26">
        <v>106362.72</v>
      </c>
      <c r="BH70" s="26">
        <v>106363</v>
      </c>
      <c r="BI70" s="244">
        <v>2130</v>
      </c>
      <c r="BJ70" s="16">
        <f>BH70+BI70</f>
        <v>108493</v>
      </c>
      <c r="BK70" s="122">
        <f>IF(BH70=0," ",(BJ70-BH70)/BH70)</f>
        <v>2.0025760837885355E-2</v>
      </c>
      <c r="BM70" s="117">
        <v>108493</v>
      </c>
      <c r="BN70" s="117">
        <v>108493</v>
      </c>
      <c r="BP70" s="428" t="s">
        <v>1290</v>
      </c>
      <c r="BR70" s="117">
        <v>108493</v>
      </c>
      <c r="BS70" s="26">
        <v>48634.559999999998</v>
      </c>
      <c r="BU70" s="26">
        <v>108493</v>
      </c>
      <c r="BV70" s="244">
        <v>2171</v>
      </c>
      <c r="BW70" s="576">
        <f>BU70+BV70</f>
        <v>110664</v>
      </c>
      <c r="BX70" s="577">
        <f>IF(BU70=0," ",(BW70-BU70)/BU70)</f>
        <v>2.0010507590351452E-2</v>
      </c>
      <c r="BZ70" s="166">
        <v>110664</v>
      </c>
      <c r="CA70" s="166">
        <v>110664</v>
      </c>
      <c r="CC70" s="765" t="s">
        <v>1367</v>
      </c>
      <c r="CE70" s="166">
        <v>110664</v>
      </c>
      <c r="CF70" s="166"/>
      <c r="CJ70" s="886"/>
      <c r="CK70" s="1"/>
      <c r="CO70" s="16"/>
    </row>
    <row r="71" spans="1:93" x14ac:dyDescent="0.3">
      <c r="H71" s="145">
        <f>SUM(H70:H70)</f>
        <v>89910</v>
      </c>
      <c r="I71" s="32">
        <f>SUM(I70:I70)</f>
        <v>3982</v>
      </c>
      <c r="J71" s="32">
        <f>SUM(J70:J70)</f>
        <v>93892</v>
      </c>
      <c r="K71" s="128">
        <f>IF(H71=0," ",(J71-H71)/H71)</f>
        <v>4.4288733177622067E-2</v>
      </c>
      <c r="M71" s="32">
        <f>SUM(M70:M70)</f>
        <v>93892</v>
      </c>
      <c r="N71" s="32">
        <f>SUM(N70:N70)</f>
        <v>93892</v>
      </c>
      <c r="P71" s="141">
        <f>SUM(P70:P70)</f>
        <v>0</v>
      </c>
      <c r="R71" s="145">
        <f>SUM(R70:R70)</f>
        <v>93892</v>
      </c>
      <c r="S71" s="145">
        <f>SUM(S70:S70)</f>
        <v>93891.199999999997</v>
      </c>
      <c r="U71" s="32">
        <f>SUM(U70:U70)</f>
        <v>93892</v>
      </c>
      <c r="V71" s="32">
        <f>SUM(V70:V70)</f>
        <v>4513</v>
      </c>
      <c r="W71" s="32">
        <f>SUM(W70:W70)</f>
        <v>98405</v>
      </c>
      <c r="X71" s="128">
        <f>IF(U71=0," ",(W71-U71)/U71)</f>
        <v>4.8065862906317897E-2</v>
      </c>
      <c r="Z71" s="32">
        <f>SUM(Z70:Z70)</f>
        <v>98405</v>
      </c>
      <c r="AA71" s="32">
        <f>SUM(AA70:AA70)</f>
        <v>98405</v>
      </c>
      <c r="AC71" s="141"/>
      <c r="AE71" s="32">
        <f>SUM(AE70:AE70)</f>
        <v>98405</v>
      </c>
      <c r="AF71" s="274">
        <f>SUM(AF70:AF70)</f>
        <v>98404.800000000003</v>
      </c>
      <c r="AH71" s="145">
        <v>98405</v>
      </c>
      <c r="AI71" s="32">
        <f>SUM(AI70:AI70)</f>
        <v>5515</v>
      </c>
      <c r="AJ71" s="32">
        <f>SUM(AJ70:AJ70)</f>
        <v>103920</v>
      </c>
      <c r="AK71" s="128">
        <f>IF(AH71=0," ",(AJ71-AH71)/AH71)</f>
        <v>5.6043900208322749E-2</v>
      </c>
      <c r="AM71" s="32">
        <f>SUM(AM70:AM70)</f>
        <v>103920</v>
      </c>
      <c r="AN71" s="32">
        <f>SUM(AN70:AN70)</f>
        <v>103920</v>
      </c>
      <c r="AP71" s="141"/>
      <c r="AR71" s="145">
        <f>SUM(AR70:AR70)</f>
        <v>103920</v>
      </c>
      <c r="AS71" s="32">
        <f>SUM(AS70:AS70)</f>
        <v>103919.67999999999</v>
      </c>
      <c r="AU71" s="145">
        <f>SUM(AU70:AU70)</f>
        <v>103920</v>
      </c>
      <c r="AV71" s="32">
        <f>SUM(AV70:AV70)</f>
        <v>4573</v>
      </c>
      <c r="AW71" s="32">
        <f>SUM(AW70:AW70)</f>
        <v>108493</v>
      </c>
      <c r="AX71" s="128">
        <f>IF(AU71=0," ",(AW71-AU71)/AU71)</f>
        <v>4.4005003849114703E-2</v>
      </c>
      <c r="AZ71" s="32">
        <f>SUM(AZ70:AZ70)</f>
        <v>108075</v>
      </c>
      <c r="BA71" s="32">
        <f>SUM(BA70:BA70)</f>
        <v>106363</v>
      </c>
      <c r="BC71" s="141"/>
      <c r="BE71" s="32">
        <f>SUM(BE70:BE70)</f>
        <v>106363</v>
      </c>
      <c r="BF71" s="32">
        <f>SUM(BF70:BF70)</f>
        <v>106362.72</v>
      </c>
      <c r="BH71" s="32">
        <f>SUM(BH70:BH70)</f>
        <v>106363</v>
      </c>
      <c r="BI71" s="32">
        <f>SUM(BI70:BI70)</f>
        <v>2130</v>
      </c>
      <c r="BJ71" s="32">
        <f>SUM(BJ70:BJ70)</f>
        <v>108493</v>
      </c>
      <c r="BK71" s="128">
        <f>IF(BH71=0," ",(BJ71-BH71)/BH71)</f>
        <v>2.0025760837885355E-2</v>
      </c>
      <c r="BM71" s="32">
        <f>SUM(BM70:BM70)</f>
        <v>108493</v>
      </c>
      <c r="BN71" s="32">
        <f>SUM(BN70:BN70)</f>
        <v>108493</v>
      </c>
      <c r="BP71" s="141"/>
      <c r="BR71" s="32">
        <f>SUM(BR70:BR70)</f>
        <v>108493</v>
      </c>
      <c r="BS71" s="32">
        <f>SUM(BS70:BS70)</f>
        <v>48634.559999999998</v>
      </c>
      <c r="BU71" s="32">
        <f>SUM(BU70:BU70)</f>
        <v>108493</v>
      </c>
      <c r="BV71" s="32">
        <f>SUM(BV70:BV70)</f>
        <v>2171</v>
      </c>
      <c r="BW71" s="595">
        <f>SUM(BW70:BW70)</f>
        <v>110664</v>
      </c>
      <c r="BX71" s="596">
        <f>IF(BU71=0," ",(BW71-BU71)/BU71)</f>
        <v>2.0010507590351452E-2</v>
      </c>
      <c r="BZ71" s="595">
        <f>SUM(BZ70:BZ70)</f>
        <v>110664</v>
      </c>
      <c r="CA71" s="595">
        <f>SUM(CA70:CA70)</f>
        <v>110664</v>
      </c>
      <c r="CC71" s="770"/>
      <c r="CE71" s="595">
        <f>SUM(CE70:CE70)</f>
        <v>110664</v>
      </c>
      <c r="CF71" s="595">
        <f>SUM(CF70:CF70)</f>
        <v>0</v>
      </c>
      <c r="CJ71" s="886"/>
      <c r="CK71" s="1"/>
      <c r="CO71" s="16"/>
    </row>
    <row r="72" spans="1:93" x14ac:dyDescent="0.3">
      <c r="H72" s="26"/>
      <c r="R72" s="26"/>
      <c r="AF72" s="200"/>
      <c r="AH72" s="26"/>
      <c r="AR72" s="26"/>
      <c r="AS72" s="16"/>
      <c r="AU72" s="26"/>
      <c r="BS72" s="26"/>
      <c r="CJ72" s="886"/>
      <c r="CK72" s="1"/>
      <c r="CO72" s="16"/>
    </row>
    <row r="73" spans="1:93" x14ac:dyDescent="0.3">
      <c r="A73" s="11">
        <v>135</v>
      </c>
      <c r="B73" s="3" t="s">
        <v>2</v>
      </c>
      <c r="C73" s="37">
        <v>13502</v>
      </c>
      <c r="D73" s="37">
        <v>51140</v>
      </c>
      <c r="E73" s="49" t="s">
        <v>11</v>
      </c>
      <c r="F73" s="3" t="s">
        <v>2</v>
      </c>
      <c r="G73" s="3" t="s">
        <v>24</v>
      </c>
      <c r="H73" s="26">
        <v>44051</v>
      </c>
      <c r="I73" s="244">
        <v>1935</v>
      </c>
      <c r="J73" s="16">
        <f>H73+I73</f>
        <v>45986</v>
      </c>
      <c r="K73" s="122">
        <f>IF(H73=0," ",(J73-H73)/H73)</f>
        <v>4.3926358084946993E-2</v>
      </c>
      <c r="M73" s="117">
        <v>45986</v>
      </c>
      <c r="N73" s="117">
        <v>45986</v>
      </c>
      <c r="P73" s="259" t="s">
        <v>518</v>
      </c>
      <c r="R73" s="26">
        <v>45986</v>
      </c>
      <c r="S73" s="26">
        <v>39832.94</v>
      </c>
      <c r="U73" s="26">
        <v>45986</v>
      </c>
      <c r="V73" s="244">
        <v>2192</v>
      </c>
      <c r="W73" s="16">
        <f>U73+V73</f>
        <v>48178</v>
      </c>
      <c r="X73" s="122">
        <f>IF(U73=0," ",(W73-U73)/U73)</f>
        <v>4.7666681163832471E-2</v>
      </c>
      <c r="Z73" s="117">
        <v>48178</v>
      </c>
      <c r="AA73" s="117">
        <v>48178</v>
      </c>
      <c r="AC73" s="259" t="s">
        <v>653</v>
      </c>
      <c r="AE73" s="26">
        <v>48178</v>
      </c>
      <c r="AF73" s="200">
        <v>47640.21</v>
      </c>
      <c r="AH73" s="26">
        <v>48178</v>
      </c>
      <c r="AI73" s="244">
        <v>2763</v>
      </c>
      <c r="AJ73" s="16">
        <f>AH73+AI73</f>
        <v>50941</v>
      </c>
      <c r="AK73" s="122">
        <f>IF(AH73=0," ",(AJ73-AH73)/AH73)</f>
        <v>5.734982772219685E-2</v>
      </c>
      <c r="AM73" s="117">
        <v>50941</v>
      </c>
      <c r="AN73" s="117">
        <v>50941</v>
      </c>
      <c r="AP73" s="259" t="s">
        <v>782</v>
      </c>
      <c r="AR73" s="26">
        <v>50941</v>
      </c>
      <c r="AS73" s="26">
        <v>50940.3</v>
      </c>
      <c r="AU73" s="26">
        <f>AR73</f>
        <v>50941</v>
      </c>
      <c r="AV73" s="244">
        <v>2200</v>
      </c>
      <c r="AW73" s="16">
        <f>AU73+AV73</f>
        <v>53141</v>
      </c>
      <c r="AX73" s="122">
        <f>IF(AU73=0," ",(AW73-AU73)/AU73)</f>
        <v>4.3187216583891165E-2</v>
      </c>
      <c r="AZ73" s="117">
        <v>52928</v>
      </c>
      <c r="BA73" s="117">
        <v>52094</v>
      </c>
      <c r="BC73" s="266" t="s">
        <v>1071</v>
      </c>
      <c r="BE73" s="26">
        <v>52094</v>
      </c>
      <c r="BF73" s="26">
        <v>52093.17</v>
      </c>
      <c r="BH73" s="26">
        <v>52094</v>
      </c>
      <c r="BI73" s="244">
        <v>1062</v>
      </c>
      <c r="BJ73" s="16">
        <f>BH73+BI73</f>
        <v>53156</v>
      </c>
      <c r="BK73" s="122">
        <f>IF(BH73=0," ",(BJ73-BH73)/BH73)</f>
        <v>2.0386224901140247E-2</v>
      </c>
      <c r="BM73" s="117">
        <v>53156</v>
      </c>
      <c r="BN73" s="117">
        <f>53156+9397</f>
        <v>62553</v>
      </c>
      <c r="BP73" s="411" t="s">
        <v>1291</v>
      </c>
      <c r="BR73" s="117">
        <f>53156+9397</f>
        <v>62553</v>
      </c>
      <c r="BS73" s="26">
        <v>27954.62</v>
      </c>
      <c r="BU73" s="26">
        <f>53156+9397</f>
        <v>62553</v>
      </c>
      <c r="BV73" s="244">
        <v>1240</v>
      </c>
      <c r="BW73" s="576">
        <f>BU73+BV73</f>
        <v>63793</v>
      </c>
      <c r="BX73" s="577">
        <f>IF(BU73=0," ",(BW73-BU73)/BU73)</f>
        <v>1.9823189934935176E-2</v>
      </c>
      <c r="BZ73" s="166">
        <v>63793</v>
      </c>
      <c r="CA73" s="166">
        <v>63793</v>
      </c>
      <c r="CC73" s="765" t="s">
        <v>1319</v>
      </c>
      <c r="CE73" s="166">
        <v>63793</v>
      </c>
      <c r="CF73" s="166"/>
      <c r="CJ73" s="886"/>
      <c r="CK73" s="1"/>
      <c r="CO73" s="16"/>
    </row>
    <row r="74" spans="1:93" x14ac:dyDescent="0.3">
      <c r="H74" s="145">
        <f>SUM(H73:H73)</f>
        <v>44051</v>
      </c>
      <c r="I74" s="32">
        <f>SUM(I73:I73)</f>
        <v>1935</v>
      </c>
      <c r="J74" s="32">
        <f>SUM(J73:J73)</f>
        <v>45986</v>
      </c>
      <c r="K74" s="128">
        <f>IF(H74=0," ",(J74-H74)/H74)</f>
        <v>4.3926358084946993E-2</v>
      </c>
      <c r="M74" s="32">
        <f>SUM(M73:M73)</f>
        <v>45986</v>
      </c>
      <c r="N74" s="32">
        <f>SUM(N73:N73)</f>
        <v>45986</v>
      </c>
      <c r="P74" s="141">
        <f>SUM(P73:P73)</f>
        <v>0</v>
      </c>
      <c r="R74" s="32">
        <f>SUM(R73:R73)</f>
        <v>45986</v>
      </c>
      <c r="S74" s="32">
        <f>SUM(S73:S73)</f>
        <v>39832.94</v>
      </c>
      <c r="U74" s="32">
        <f>SUM(U73:U73)</f>
        <v>45986</v>
      </c>
      <c r="V74" s="32">
        <f>SUM(V73:V73)</f>
        <v>2192</v>
      </c>
      <c r="W74" s="32">
        <f>SUM(W73:W73)</f>
        <v>48178</v>
      </c>
      <c r="X74" s="128">
        <f>IF(U74=0," ",(W74-U74)/U74)</f>
        <v>4.7666681163832471E-2</v>
      </c>
      <c r="Z74" s="32">
        <f>SUM(Z73:Z73)</f>
        <v>48178</v>
      </c>
      <c r="AA74" s="32">
        <f>SUM(AA73:AA73)</f>
        <v>48178</v>
      </c>
      <c r="AC74" s="141"/>
      <c r="AE74" s="32">
        <f>SUM(AE73:AE73)</f>
        <v>48178</v>
      </c>
      <c r="AF74" s="202">
        <f>SUM(AF73:AF73)</f>
        <v>47640.21</v>
      </c>
      <c r="AH74" s="32">
        <v>48178</v>
      </c>
      <c r="AI74" s="32">
        <f>SUM(AI73:AI73)</f>
        <v>2763</v>
      </c>
      <c r="AJ74" s="32">
        <f>SUM(AJ73:AJ73)</f>
        <v>50941</v>
      </c>
      <c r="AK74" s="128">
        <f>IF(AH74=0," ",(AJ74-AH74)/AH74)</f>
        <v>5.734982772219685E-2</v>
      </c>
      <c r="AM74" s="32">
        <f>SUM(AM73:AM73)</f>
        <v>50941</v>
      </c>
      <c r="AN74" s="32">
        <f>SUM(AN73:AN73)</f>
        <v>50941</v>
      </c>
      <c r="AP74" s="141"/>
      <c r="AR74" s="32">
        <f>SUM(AR73:AR73)</f>
        <v>50941</v>
      </c>
      <c r="AS74" s="32">
        <f>SUM(AS73:AS73)</f>
        <v>50940.3</v>
      </c>
      <c r="AU74" s="32">
        <f>SUM(AU73:AU73)</f>
        <v>50941</v>
      </c>
      <c r="AV74" s="32">
        <f>SUM(AV73:AV73)</f>
        <v>2200</v>
      </c>
      <c r="AW74" s="32">
        <f>SUM(AW73:AW73)</f>
        <v>53141</v>
      </c>
      <c r="AX74" s="128">
        <f>IF(AU74=0," ",(AW74-AU74)/AU74)</f>
        <v>4.3187216583891165E-2</v>
      </c>
      <c r="AZ74" s="32">
        <f>SUM(AZ73:AZ73)</f>
        <v>52928</v>
      </c>
      <c r="BA74" s="32">
        <f>SUM(BA73:BA73)</f>
        <v>52094</v>
      </c>
      <c r="BC74" s="141"/>
      <c r="BE74" s="32">
        <f>SUM(BE73:BE73)</f>
        <v>52094</v>
      </c>
      <c r="BF74" s="32">
        <f>SUM(BF73:BF73)</f>
        <v>52093.17</v>
      </c>
      <c r="BH74" s="32">
        <f>SUM(BH73:BH73)</f>
        <v>52094</v>
      </c>
      <c r="BI74" s="32">
        <f>SUM(BI73:BI73)</f>
        <v>1062</v>
      </c>
      <c r="BJ74" s="32">
        <f>SUM(BJ73:BJ73)</f>
        <v>53156</v>
      </c>
      <c r="BK74" s="128">
        <f>IF(BH74=0," ",(BJ74-BH74)/BH74)</f>
        <v>2.0386224901140247E-2</v>
      </c>
      <c r="BM74" s="32">
        <f>SUM(BM73:BM73)</f>
        <v>53156</v>
      </c>
      <c r="BN74" s="32">
        <f>SUM(BN73:BN73)</f>
        <v>62553</v>
      </c>
      <c r="BP74" s="141"/>
      <c r="BR74" s="32">
        <f>SUM(BR73:BR73)</f>
        <v>62553</v>
      </c>
      <c r="BS74" s="32">
        <f>SUM(BS73:BS73)</f>
        <v>27954.62</v>
      </c>
      <c r="BU74" s="32">
        <f>SUM(BU73:BU73)</f>
        <v>62553</v>
      </c>
      <c r="BV74" s="32">
        <f>SUM(BV73:BV73)</f>
        <v>1240</v>
      </c>
      <c r="BW74" s="595">
        <f>SUM(BW73:BW73)</f>
        <v>63793</v>
      </c>
      <c r="BX74" s="596">
        <f>IF(BU74=0," ",(BW74-BU74)/BU74)</f>
        <v>1.9823189934935176E-2</v>
      </c>
      <c r="BZ74" s="595">
        <f>SUM(BZ73:BZ73)</f>
        <v>63793</v>
      </c>
      <c r="CA74" s="595">
        <f>SUM(CA73:CA73)</f>
        <v>63793</v>
      </c>
      <c r="CC74" s="770"/>
      <c r="CE74" s="595">
        <f>SUM(CE73:CE73)</f>
        <v>63793</v>
      </c>
      <c r="CF74" s="595">
        <f>SUM(CF73:CF73)</f>
        <v>0</v>
      </c>
      <c r="CJ74" s="886"/>
      <c r="CK74" s="1"/>
      <c r="CO74" s="16"/>
    </row>
    <row r="75" spans="1:93" x14ac:dyDescent="0.3">
      <c r="AS75" s="16"/>
      <c r="CJ75" s="886"/>
      <c r="CK75" s="1"/>
      <c r="CO75" s="16"/>
    </row>
    <row r="76" spans="1:93" x14ac:dyDescent="0.3">
      <c r="A76" s="27"/>
      <c r="B76" s="8"/>
      <c r="C76" s="42"/>
      <c r="D76" s="42"/>
      <c r="E76" s="54"/>
      <c r="F76" s="8"/>
      <c r="G76" s="8" t="s">
        <v>138</v>
      </c>
      <c r="H76" s="28">
        <f>H71+H74</f>
        <v>133961</v>
      </c>
      <c r="I76" s="28">
        <f>I71+I74</f>
        <v>5917</v>
      </c>
      <c r="J76" s="28">
        <f>J71+J74</f>
        <v>139878</v>
      </c>
      <c r="K76" s="123">
        <f>IF(H76=0," ",(J76-H76)/H76)</f>
        <v>4.4169571741029104E-2</v>
      </c>
      <c r="M76" s="28">
        <f>M71+M74</f>
        <v>139878</v>
      </c>
      <c r="N76" s="28">
        <f>N71+N74</f>
        <v>139878</v>
      </c>
      <c r="P76" s="139">
        <f>P71+P74</f>
        <v>0</v>
      </c>
      <c r="R76" s="28">
        <f>R71+R74</f>
        <v>139878</v>
      </c>
      <c r="S76" s="28">
        <f>S71+S74</f>
        <v>133724.14000000001</v>
      </c>
      <c r="U76" s="28">
        <f>U71+U74</f>
        <v>139878</v>
      </c>
      <c r="V76" s="28">
        <f>V71+V74</f>
        <v>6705</v>
      </c>
      <c r="W76" s="28">
        <f>W71+W74</f>
        <v>146583</v>
      </c>
      <c r="X76" s="123">
        <f>IF(U76=0," ",(W76-U76)/U76)</f>
        <v>4.7934628747908894E-2</v>
      </c>
      <c r="Z76" s="28">
        <f>Z71+Z74</f>
        <v>146583</v>
      </c>
      <c r="AA76" s="28">
        <f>AA71+AA74</f>
        <v>146583</v>
      </c>
      <c r="AC76" s="139"/>
      <c r="AE76" s="28">
        <f>AE71+AE74</f>
        <v>146583</v>
      </c>
      <c r="AF76" s="201">
        <f>AF71+AF74</f>
        <v>146045.01</v>
      </c>
      <c r="AH76" s="28">
        <v>146583</v>
      </c>
      <c r="AI76" s="28">
        <f>AI71+AI74</f>
        <v>8278</v>
      </c>
      <c r="AJ76" s="28">
        <f>AJ71+AJ74</f>
        <v>154861</v>
      </c>
      <c r="AK76" s="123">
        <f>IF(AH76=0," ",(AJ76-AH76)/AH76)</f>
        <v>5.6473124441442729E-2</v>
      </c>
      <c r="AM76" s="28">
        <f>AM71+AM74</f>
        <v>154861</v>
      </c>
      <c r="AN76" s="28">
        <f>AN71+AN74</f>
        <v>154861</v>
      </c>
      <c r="AP76" s="139"/>
      <c r="AR76" s="28">
        <f>AR71+AR74</f>
        <v>154861</v>
      </c>
      <c r="AS76" s="28">
        <f>AS71+AS74</f>
        <v>154859.97999999998</v>
      </c>
      <c r="AU76" s="28">
        <f>AU71+AU74</f>
        <v>154861</v>
      </c>
      <c r="AV76" s="28">
        <f>AV71+AV74</f>
        <v>6773</v>
      </c>
      <c r="AW76" s="28">
        <f>AW71+AW74</f>
        <v>161634</v>
      </c>
      <c r="AX76" s="123">
        <f>IF(AU76=0," ",(AW76-AU76)/AU76)</f>
        <v>4.3735995505646996E-2</v>
      </c>
      <c r="AZ76" s="28">
        <f>AZ71+AZ74</f>
        <v>161003</v>
      </c>
      <c r="BA76" s="28">
        <f>BA71+BA74</f>
        <v>158457</v>
      </c>
      <c r="BC76" s="139"/>
      <c r="BE76" s="28">
        <f>BE71+BE74</f>
        <v>158457</v>
      </c>
      <c r="BF76" s="28">
        <f>BF71+BF74</f>
        <v>158455.89000000001</v>
      </c>
      <c r="BH76" s="28">
        <f>BH71+BH74</f>
        <v>158457</v>
      </c>
      <c r="BI76" s="28">
        <f>BI71+BI74</f>
        <v>3192</v>
      </c>
      <c r="BJ76" s="28">
        <f>BJ71+BJ74</f>
        <v>161649</v>
      </c>
      <c r="BK76" s="123">
        <f>IF(BH76=0," ",(BJ76-BH76)/BH76)</f>
        <v>2.0144266267820291E-2</v>
      </c>
      <c r="BM76" s="28">
        <f>BM71+BM74</f>
        <v>161649</v>
      </c>
      <c r="BN76" s="28">
        <f>BN71+BN74</f>
        <v>171046</v>
      </c>
      <c r="BP76" s="139"/>
      <c r="BR76" s="28">
        <f>BR71+BR74</f>
        <v>171046</v>
      </c>
      <c r="BS76" s="28">
        <f>BS71+BS74</f>
        <v>76589.179999999993</v>
      </c>
      <c r="BU76" s="28">
        <f>BU71+BU74</f>
        <v>171046</v>
      </c>
      <c r="BV76" s="532">
        <f>BV71+BV74</f>
        <v>3411</v>
      </c>
      <c r="BW76" s="591">
        <f>BW71+BW74</f>
        <v>174457</v>
      </c>
      <c r="BX76" s="579">
        <f>IF(BU76=0," ",(BW76-BU76)/BU76)</f>
        <v>1.9942003905382179E-2</v>
      </c>
      <c r="BZ76" s="591">
        <f>BZ71+BZ74</f>
        <v>174457</v>
      </c>
      <c r="CA76" s="591">
        <f>CA71+CA74</f>
        <v>174457</v>
      </c>
      <c r="CC76" s="769"/>
      <c r="CE76" s="591">
        <f>CE71+CE74</f>
        <v>174457</v>
      </c>
      <c r="CF76" s="591">
        <f>CF71+CF74</f>
        <v>0</v>
      </c>
      <c r="CJ76" s="886"/>
      <c r="CK76" s="1"/>
      <c r="CO76" s="16"/>
    </row>
    <row r="77" spans="1:93" x14ac:dyDescent="0.3">
      <c r="AH77" s="26"/>
      <c r="AS77" s="16"/>
      <c r="AU77" s="26"/>
      <c r="CJ77" s="886"/>
      <c r="CK77" s="1"/>
      <c r="CO77" s="16"/>
    </row>
    <row r="78" spans="1:93" x14ac:dyDescent="0.3">
      <c r="A78" s="11">
        <v>135</v>
      </c>
      <c r="B78" s="3" t="s">
        <v>2</v>
      </c>
      <c r="C78" s="37">
        <v>13505</v>
      </c>
      <c r="D78" s="37">
        <v>53140</v>
      </c>
      <c r="E78" s="49" t="s">
        <v>118</v>
      </c>
      <c r="F78" s="3" t="s">
        <v>2</v>
      </c>
      <c r="G78" s="3" t="s">
        <v>914</v>
      </c>
      <c r="AF78" s="197">
        <v>846.75</v>
      </c>
      <c r="AH78" s="26"/>
      <c r="AI78" s="244"/>
      <c r="AM78" s="117"/>
      <c r="AN78" s="117"/>
      <c r="AO78" s="178"/>
      <c r="AP78" s="282"/>
      <c r="AR78" s="26"/>
      <c r="AS78" s="26">
        <v>1053.99</v>
      </c>
      <c r="AU78" s="26">
        <f t="shared" ref="AU78:AU84" si="38">AR78</f>
        <v>0</v>
      </c>
      <c r="AV78" s="244"/>
      <c r="AW78" s="16">
        <f>AU78+AV78</f>
        <v>0</v>
      </c>
      <c r="AX78" s="122" t="str">
        <f>IF(AU78=0," ",(AW78-AU78)/AU78)</f>
        <v xml:space="preserve"> </v>
      </c>
      <c r="AZ78" s="117"/>
      <c r="BA78" s="117">
        <v>500</v>
      </c>
      <c r="BB78" s="178"/>
      <c r="BC78" s="266" t="s">
        <v>1007</v>
      </c>
      <c r="BE78" s="26">
        <v>500</v>
      </c>
      <c r="BF78" s="26">
        <v>1567.7</v>
      </c>
      <c r="BH78" s="26">
        <v>500</v>
      </c>
      <c r="BI78" s="244"/>
      <c r="BJ78" s="16">
        <f>BH78+BI78</f>
        <v>500</v>
      </c>
      <c r="BK78" s="122">
        <f>IF(BH78=0," ",(BJ78-BH78)/BH78)</f>
        <v>0</v>
      </c>
      <c r="BM78" s="117">
        <v>500</v>
      </c>
      <c r="BN78" s="117">
        <v>500</v>
      </c>
      <c r="BO78" s="178"/>
      <c r="BP78" s="259"/>
      <c r="BR78" s="117">
        <v>500</v>
      </c>
      <c r="BU78" s="26">
        <v>500</v>
      </c>
      <c r="BV78" s="244"/>
      <c r="BW78" s="576">
        <f>BU78+BV78</f>
        <v>500</v>
      </c>
      <c r="BX78" s="577">
        <f>IF(BU78=0," ",(BW78-BU78)/BU78)</f>
        <v>0</v>
      </c>
      <c r="BZ78" s="166">
        <v>500</v>
      </c>
      <c r="CA78" s="166">
        <v>500</v>
      </c>
      <c r="CC78" s="753"/>
      <c r="CE78" s="166">
        <v>500</v>
      </c>
      <c r="CF78" s="166"/>
      <c r="CJ78" s="886"/>
      <c r="CK78" s="1"/>
      <c r="CO78" s="16"/>
    </row>
    <row r="79" spans="1:93" x14ac:dyDescent="0.3">
      <c r="A79" s="11">
        <v>135</v>
      </c>
      <c r="B79" s="3" t="s">
        <v>2</v>
      </c>
      <c r="C79" s="37">
        <v>13505</v>
      </c>
      <c r="D79" s="37">
        <v>53140</v>
      </c>
      <c r="E79" s="49" t="s">
        <v>118</v>
      </c>
      <c r="F79" s="3" t="s">
        <v>2</v>
      </c>
      <c r="G79" s="3" t="s">
        <v>25</v>
      </c>
      <c r="H79" s="26">
        <v>20700</v>
      </c>
      <c r="I79" s="244">
        <v>900</v>
      </c>
      <c r="J79" s="16">
        <f t="shared" ref="J79:J84" si="39">H79+I79</f>
        <v>21600</v>
      </c>
      <c r="K79" s="122">
        <f t="shared" ref="K79:K85" si="40">IF(H79=0," ",(J79-H79)/H79)</f>
        <v>4.3478260869565216E-2</v>
      </c>
      <c r="M79" s="117">
        <v>21600</v>
      </c>
      <c r="N79" s="117">
        <v>21600</v>
      </c>
      <c r="P79" s="259" t="s">
        <v>497</v>
      </c>
      <c r="R79" s="26">
        <v>21600</v>
      </c>
      <c r="S79" s="26">
        <v>22800</v>
      </c>
      <c r="U79" s="26">
        <v>21600</v>
      </c>
      <c r="V79" s="249">
        <v>0</v>
      </c>
      <c r="W79" s="16">
        <f t="shared" ref="W79:W84" si="41">U79+V79</f>
        <v>21600</v>
      </c>
      <c r="X79" s="122">
        <f t="shared" ref="X79:X85" si="42">IF(U79=0," ",(W79-U79)/U79)</f>
        <v>0</v>
      </c>
      <c r="Z79" s="117">
        <v>21600</v>
      </c>
      <c r="AA79" s="117">
        <f>21600+4100</f>
        <v>25700</v>
      </c>
      <c r="AC79" s="259" t="s">
        <v>733</v>
      </c>
      <c r="AE79" s="26">
        <f>21600+4100</f>
        <v>25700</v>
      </c>
      <c r="AF79" s="200">
        <v>24900</v>
      </c>
      <c r="AH79" s="26">
        <v>25700</v>
      </c>
      <c r="AI79" s="244"/>
      <c r="AJ79" s="16">
        <f t="shared" ref="AJ79:AJ84" si="43">AH79+AI79</f>
        <v>25700</v>
      </c>
      <c r="AK79" s="122">
        <f t="shared" ref="AK79:AK84" si="44">IF(AH79=0," ",(AJ79-AH79)/AH79)</f>
        <v>0</v>
      </c>
      <c r="AM79" s="117">
        <v>25700</v>
      </c>
      <c r="AN79" s="117">
        <v>25700</v>
      </c>
      <c r="AO79" s="178"/>
      <c r="AP79" s="282" t="s">
        <v>861</v>
      </c>
      <c r="AR79" s="26">
        <v>25700</v>
      </c>
      <c r="AS79" s="26">
        <v>23490</v>
      </c>
      <c r="AU79" s="26">
        <f t="shared" si="38"/>
        <v>25700</v>
      </c>
      <c r="AV79" s="244"/>
      <c r="AW79" s="16">
        <f t="shared" ref="AW79:AW84" si="45">AU79+AV79</f>
        <v>25700</v>
      </c>
      <c r="AX79" s="122">
        <f t="shared" ref="AX79:AX84" si="46">IF(AU79=0," ",(AW79-AU79)/AU79)</f>
        <v>0</v>
      </c>
      <c r="AZ79" s="117">
        <v>25700</v>
      </c>
      <c r="BA79" s="117">
        <f>25700+1300</f>
        <v>27000</v>
      </c>
      <c r="BB79" s="178"/>
      <c r="BC79" s="266" t="s">
        <v>1028</v>
      </c>
      <c r="BE79" s="26">
        <f>25700+1300</f>
        <v>27000</v>
      </c>
      <c r="BF79" s="26">
        <v>28440</v>
      </c>
      <c r="BH79" s="26">
        <f>25700+1300</f>
        <v>27000</v>
      </c>
      <c r="BI79" s="244"/>
      <c r="BJ79" s="16">
        <f t="shared" ref="BJ79:BJ84" si="47">BH79+BI79</f>
        <v>27000</v>
      </c>
      <c r="BK79" s="122">
        <f t="shared" ref="BK79:BK84" si="48">IF(BH79=0," ",(BJ79-BH79)/BH79)</f>
        <v>0</v>
      </c>
      <c r="BM79" s="117">
        <v>27000</v>
      </c>
      <c r="BN79" s="117">
        <f>27000+5000</f>
        <v>32000</v>
      </c>
      <c r="BO79" s="178"/>
      <c r="BP79" s="430" t="s">
        <v>1190</v>
      </c>
      <c r="BR79" s="117">
        <f>27000+5000</f>
        <v>32000</v>
      </c>
      <c r="BS79" s="26"/>
      <c r="BU79" s="26">
        <f>27000+5000</f>
        <v>32000</v>
      </c>
      <c r="BV79" s="244"/>
      <c r="BW79" s="576">
        <f t="shared" ref="BW79:BW84" si="49">BU79+BV79</f>
        <v>32000</v>
      </c>
      <c r="BX79" s="577">
        <f t="shared" ref="BX79:BX84" si="50">IF(BU79=0," ",(BW79-BU79)/BU79)</f>
        <v>0</v>
      </c>
      <c r="BZ79" s="166">
        <v>32000</v>
      </c>
      <c r="CA79" s="166">
        <v>32000</v>
      </c>
      <c r="CC79" s="753"/>
      <c r="CE79" s="166">
        <v>32000</v>
      </c>
      <c r="CF79" s="166"/>
      <c r="CJ79" s="886"/>
      <c r="CK79" s="1"/>
      <c r="CO79" s="16"/>
    </row>
    <row r="80" spans="1:93" x14ac:dyDescent="0.3">
      <c r="A80" s="11">
        <v>135</v>
      </c>
      <c r="B80" s="3" t="s">
        <v>2</v>
      </c>
      <c r="C80" s="37">
        <v>13505</v>
      </c>
      <c r="D80" s="37">
        <v>53200</v>
      </c>
      <c r="E80" s="49" t="s">
        <v>118</v>
      </c>
      <c r="F80" s="3" t="s">
        <v>2</v>
      </c>
      <c r="G80" s="3" t="s">
        <v>111</v>
      </c>
      <c r="H80" s="26"/>
      <c r="I80" s="244">
        <v>1130</v>
      </c>
      <c r="J80" s="16">
        <f t="shared" si="39"/>
        <v>1130</v>
      </c>
      <c r="K80" s="122" t="str">
        <f t="shared" si="40"/>
        <v xml:space="preserve"> </v>
      </c>
      <c r="M80" s="117">
        <v>1130</v>
      </c>
      <c r="N80" s="117">
        <v>1130</v>
      </c>
      <c r="P80" s="259" t="s">
        <v>520</v>
      </c>
      <c r="R80" s="26">
        <v>1130</v>
      </c>
      <c r="S80" s="26">
        <v>1068</v>
      </c>
      <c r="U80" s="26">
        <v>1130</v>
      </c>
      <c r="V80" s="244">
        <v>0</v>
      </c>
      <c r="W80" s="16">
        <f t="shared" si="41"/>
        <v>1130</v>
      </c>
      <c r="X80" s="122">
        <f t="shared" si="42"/>
        <v>0</v>
      </c>
      <c r="Z80" s="117">
        <v>1130</v>
      </c>
      <c r="AA80" s="117">
        <v>1130</v>
      </c>
      <c r="AC80" s="259"/>
      <c r="AE80" s="26">
        <v>1130</v>
      </c>
      <c r="AF80" s="200">
        <v>713</v>
      </c>
      <c r="AH80" s="26">
        <v>1130</v>
      </c>
      <c r="AI80" s="244"/>
      <c r="AJ80" s="16">
        <f t="shared" si="43"/>
        <v>1130</v>
      </c>
      <c r="AK80" s="122">
        <f t="shared" si="44"/>
        <v>0</v>
      </c>
      <c r="AM80" s="117">
        <v>1130</v>
      </c>
      <c r="AN80" s="117">
        <v>1130</v>
      </c>
      <c r="AP80" s="259"/>
      <c r="AR80" s="26">
        <v>1130</v>
      </c>
      <c r="AS80" s="26">
        <v>960</v>
      </c>
      <c r="AU80" s="26">
        <f t="shared" si="38"/>
        <v>1130</v>
      </c>
      <c r="AV80" s="244"/>
      <c r="AW80" s="16">
        <f t="shared" si="45"/>
        <v>1130</v>
      </c>
      <c r="AX80" s="122">
        <f t="shared" si="46"/>
        <v>0</v>
      </c>
      <c r="AZ80" s="117">
        <v>1130</v>
      </c>
      <c r="BA80" s="117">
        <v>1130</v>
      </c>
      <c r="BC80" s="259"/>
      <c r="BE80" s="26">
        <v>1130</v>
      </c>
      <c r="BF80" s="26">
        <v>115</v>
      </c>
      <c r="BH80" s="26">
        <v>1130</v>
      </c>
      <c r="BI80" s="244"/>
      <c r="BJ80" s="16">
        <f t="shared" si="47"/>
        <v>1130</v>
      </c>
      <c r="BK80" s="122">
        <f t="shared" si="48"/>
        <v>0</v>
      </c>
      <c r="BM80" s="117">
        <v>1130</v>
      </c>
      <c r="BN80" s="117">
        <v>1130</v>
      </c>
      <c r="BP80" s="259"/>
      <c r="BR80" s="117">
        <v>1130</v>
      </c>
      <c r="BS80" s="26">
        <v>80</v>
      </c>
      <c r="BU80" s="26">
        <v>1130</v>
      </c>
      <c r="BV80" s="244"/>
      <c r="BW80" s="576">
        <f t="shared" si="49"/>
        <v>1130</v>
      </c>
      <c r="BX80" s="577">
        <f t="shared" si="50"/>
        <v>0</v>
      </c>
      <c r="BZ80" s="166">
        <v>1130</v>
      </c>
      <c r="CA80" s="166">
        <v>1130</v>
      </c>
      <c r="CC80" s="753"/>
      <c r="CE80" s="166">
        <v>1130</v>
      </c>
      <c r="CF80" s="166"/>
      <c r="CJ80" s="886"/>
      <c r="CK80" s="1"/>
      <c r="CO80" s="16"/>
    </row>
    <row r="81" spans="1:93" x14ac:dyDescent="0.3">
      <c r="A81" s="11">
        <v>135</v>
      </c>
      <c r="B81" s="3" t="s">
        <v>2</v>
      </c>
      <c r="C81" s="37">
        <v>13505</v>
      </c>
      <c r="D81" s="37">
        <v>53430</v>
      </c>
      <c r="E81" s="49" t="s">
        <v>118</v>
      </c>
      <c r="F81" s="3" t="s">
        <v>2</v>
      </c>
      <c r="G81" s="3" t="s">
        <v>26</v>
      </c>
      <c r="H81" s="26">
        <v>50</v>
      </c>
      <c r="I81" s="244">
        <v>0</v>
      </c>
      <c r="J81" s="16">
        <f t="shared" si="39"/>
        <v>50</v>
      </c>
      <c r="K81" s="122">
        <f t="shared" si="40"/>
        <v>0</v>
      </c>
      <c r="M81" s="117">
        <v>50</v>
      </c>
      <c r="N81" s="117">
        <v>50</v>
      </c>
      <c r="P81" s="259"/>
      <c r="R81" s="26">
        <v>50</v>
      </c>
      <c r="S81" s="26">
        <v>50</v>
      </c>
      <c r="U81" s="26">
        <v>50</v>
      </c>
      <c r="V81" s="244">
        <v>0</v>
      </c>
      <c r="W81" s="16">
        <f t="shared" si="41"/>
        <v>50</v>
      </c>
      <c r="X81" s="122">
        <f t="shared" si="42"/>
        <v>0</v>
      </c>
      <c r="Z81" s="117">
        <v>50</v>
      </c>
      <c r="AA81" s="117">
        <v>50</v>
      </c>
      <c r="AC81" s="259"/>
      <c r="AE81" s="26">
        <v>50</v>
      </c>
      <c r="AF81" s="200">
        <v>0</v>
      </c>
      <c r="AH81" s="26">
        <v>50</v>
      </c>
      <c r="AI81" s="244"/>
      <c r="AJ81" s="16">
        <f t="shared" si="43"/>
        <v>50</v>
      </c>
      <c r="AK81" s="122">
        <f t="shared" si="44"/>
        <v>0</v>
      </c>
      <c r="AM81" s="117">
        <v>50</v>
      </c>
      <c r="AN81" s="117">
        <v>50</v>
      </c>
      <c r="AP81" s="259"/>
      <c r="AR81" s="26">
        <v>50</v>
      </c>
      <c r="AS81" s="26"/>
      <c r="AU81" s="26">
        <f t="shared" si="38"/>
        <v>50</v>
      </c>
      <c r="AV81" s="244"/>
      <c r="AW81" s="16">
        <f t="shared" si="45"/>
        <v>50</v>
      </c>
      <c r="AX81" s="122">
        <f t="shared" si="46"/>
        <v>0</v>
      </c>
      <c r="AZ81" s="117">
        <v>50</v>
      </c>
      <c r="BA81" s="117">
        <v>50</v>
      </c>
      <c r="BC81" s="259"/>
      <c r="BE81" s="26">
        <v>50</v>
      </c>
      <c r="BF81" s="26"/>
      <c r="BH81" s="26">
        <v>50</v>
      </c>
      <c r="BI81" s="244"/>
      <c r="BJ81" s="16">
        <f t="shared" si="47"/>
        <v>50</v>
      </c>
      <c r="BK81" s="122">
        <f t="shared" si="48"/>
        <v>0</v>
      </c>
      <c r="BM81" s="117">
        <v>50</v>
      </c>
      <c r="BN81" s="117">
        <v>50</v>
      </c>
      <c r="BP81" s="259"/>
      <c r="BR81" s="117">
        <v>50</v>
      </c>
      <c r="BS81" s="26"/>
      <c r="BU81" s="26">
        <v>50</v>
      </c>
      <c r="BV81" s="244"/>
      <c r="BW81" s="576">
        <f t="shared" si="49"/>
        <v>50</v>
      </c>
      <c r="BX81" s="577">
        <f t="shared" si="50"/>
        <v>0</v>
      </c>
      <c r="BZ81" s="166">
        <v>50</v>
      </c>
      <c r="CA81" s="166">
        <v>50</v>
      </c>
      <c r="CC81" s="753"/>
      <c r="CE81" s="166">
        <v>50</v>
      </c>
      <c r="CF81" s="166"/>
      <c r="CJ81" s="886"/>
      <c r="CK81" s="1"/>
      <c r="CO81" s="16"/>
    </row>
    <row r="82" spans="1:93" x14ac:dyDescent="0.3">
      <c r="A82" s="11">
        <v>135</v>
      </c>
      <c r="B82" s="3" t="s">
        <v>2</v>
      </c>
      <c r="C82" s="37">
        <v>13505</v>
      </c>
      <c r="D82" s="37">
        <v>54200</v>
      </c>
      <c r="E82" s="49" t="s">
        <v>118</v>
      </c>
      <c r="F82" s="3" t="s">
        <v>2</v>
      </c>
      <c r="G82" s="3" t="s">
        <v>27</v>
      </c>
      <c r="H82" s="26">
        <v>500</v>
      </c>
      <c r="I82" s="244">
        <v>0</v>
      </c>
      <c r="J82" s="16">
        <f t="shared" si="39"/>
        <v>500</v>
      </c>
      <c r="K82" s="122">
        <f t="shared" si="40"/>
        <v>0</v>
      </c>
      <c r="M82" s="117">
        <v>500</v>
      </c>
      <c r="N82" s="117">
        <v>500</v>
      </c>
      <c r="P82" s="259"/>
      <c r="R82" s="26">
        <v>500</v>
      </c>
      <c r="S82" s="26">
        <v>1297.17</v>
      </c>
      <c r="U82" s="26">
        <v>500</v>
      </c>
      <c r="V82" s="244">
        <v>0</v>
      </c>
      <c r="W82" s="16">
        <f t="shared" si="41"/>
        <v>500</v>
      </c>
      <c r="X82" s="122">
        <f t="shared" si="42"/>
        <v>0</v>
      </c>
      <c r="Z82" s="117">
        <v>500</v>
      </c>
      <c r="AA82" s="117">
        <v>500</v>
      </c>
      <c r="AC82" s="259"/>
      <c r="AE82" s="26">
        <v>500</v>
      </c>
      <c r="AF82" s="200">
        <v>1291.32</v>
      </c>
      <c r="AH82" s="26">
        <v>500</v>
      </c>
      <c r="AI82" s="244"/>
      <c r="AJ82" s="16">
        <f t="shared" si="43"/>
        <v>500</v>
      </c>
      <c r="AK82" s="122">
        <f t="shared" si="44"/>
        <v>0</v>
      </c>
      <c r="AM82" s="117">
        <v>500</v>
      </c>
      <c r="AN82" s="117">
        <v>500</v>
      </c>
      <c r="AP82" s="259"/>
      <c r="AR82" s="26">
        <v>500</v>
      </c>
      <c r="AS82" s="26">
        <v>1451.69</v>
      </c>
      <c r="AU82" s="26">
        <f t="shared" si="38"/>
        <v>500</v>
      </c>
      <c r="AV82" s="244"/>
      <c r="AW82" s="16">
        <f t="shared" si="45"/>
        <v>500</v>
      </c>
      <c r="AX82" s="122">
        <f t="shared" si="46"/>
        <v>0</v>
      </c>
      <c r="AZ82" s="117">
        <v>500</v>
      </c>
      <c r="BA82" s="117">
        <v>500</v>
      </c>
      <c r="BC82" s="259"/>
      <c r="BE82" s="26">
        <v>500</v>
      </c>
      <c r="BF82" s="26">
        <v>1484.96</v>
      </c>
      <c r="BH82" s="26">
        <v>500</v>
      </c>
      <c r="BI82" s="244"/>
      <c r="BJ82" s="16">
        <f t="shared" si="47"/>
        <v>500</v>
      </c>
      <c r="BK82" s="122">
        <f t="shared" si="48"/>
        <v>0</v>
      </c>
      <c r="BM82" s="117">
        <v>500</v>
      </c>
      <c r="BN82" s="117">
        <v>500</v>
      </c>
      <c r="BP82" s="259"/>
      <c r="BR82" s="117">
        <v>500</v>
      </c>
      <c r="BS82" s="26"/>
      <c r="BU82" s="26">
        <v>500</v>
      </c>
      <c r="BV82" s="244"/>
      <c r="BW82" s="576">
        <f t="shared" si="49"/>
        <v>500</v>
      </c>
      <c r="BX82" s="577">
        <f t="shared" si="50"/>
        <v>0</v>
      </c>
      <c r="BZ82" s="166">
        <v>500</v>
      </c>
      <c r="CA82" s="166">
        <v>500</v>
      </c>
      <c r="CC82" s="753"/>
      <c r="CE82" s="166">
        <v>500</v>
      </c>
      <c r="CF82" s="166"/>
      <c r="CJ82" s="886"/>
      <c r="CK82" s="1"/>
      <c r="CO82" s="16"/>
    </row>
    <row r="83" spans="1:93" x14ac:dyDescent="0.3">
      <c r="A83" s="11">
        <v>135</v>
      </c>
      <c r="B83" s="3" t="s">
        <v>2</v>
      </c>
      <c r="C83" s="37">
        <v>13505</v>
      </c>
      <c r="D83" s="37">
        <v>57100</v>
      </c>
      <c r="E83" s="49" t="s">
        <v>118</v>
      </c>
      <c r="F83" s="3" t="s">
        <v>2</v>
      </c>
      <c r="G83" s="3" t="s">
        <v>104</v>
      </c>
      <c r="H83" s="26">
        <v>2626</v>
      </c>
      <c r="I83" s="244">
        <v>0</v>
      </c>
      <c r="J83" s="16">
        <f t="shared" si="39"/>
        <v>2626</v>
      </c>
      <c r="K83" s="122">
        <f t="shared" si="40"/>
        <v>0</v>
      </c>
      <c r="M83" s="117">
        <v>2626</v>
      </c>
      <c r="N83" s="117">
        <v>2626</v>
      </c>
      <c r="P83" s="259" t="s">
        <v>499</v>
      </c>
      <c r="R83" s="26">
        <v>2626</v>
      </c>
      <c r="S83" s="26">
        <v>2124.1799999999998</v>
      </c>
      <c r="U83" s="26">
        <v>2626</v>
      </c>
      <c r="V83" s="244">
        <v>0</v>
      </c>
      <c r="W83" s="16">
        <f t="shared" si="41"/>
        <v>2626</v>
      </c>
      <c r="X83" s="122">
        <f t="shared" si="42"/>
        <v>0</v>
      </c>
      <c r="Z83" s="117">
        <v>2626</v>
      </c>
      <c r="AA83" s="117">
        <v>2626</v>
      </c>
      <c r="AC83" s="259"/>
      <c r="AE83" s="26">
        <v>2626</v>
      </c>
      <c r="AF83" s="200">
        <v>2074.46</v>
      </c>
      <c r="AH83" s="26">
        <v>2626</v>
      </c>
      <c r="AI83" s="244"/>
      <c r="AJ83" s="16">
        <f t="shared" si="43"/>
        <v>2626</v>
      </c>
      <c r="AK83" s="122">
        <f t="shared" si="44"/>
        <v>0</v>
      </c>
      <c r="AM83" s="117">
        <v>2626</v>
      </c>
      <c r="AN83" s="117">
        <v>2626</v>
      </c>
      <c r="AP83" s="259"/>
      <c r="AR83" s="26">
        <v>2626</v>
      </c>
      <c r="AS83" s="26">
        <v>1017.78</v>
      </c>
      <c r="AU83" s="26">
        <f t="shared" si="38"/>
        <v>2626</v>
      </c>
      <c r="AV83" s="244"/>
      <c r="AW83" s="16">
        <f t="shared" si="45"/>
        <v>2626</v>
      </c>
      <c r="AX83" s="122">
        <f t="shared" si="46"/>
        <v>0</v>
      </c>
      <c r="AZ83" s="117">
        <v>2626</v>
      </c>
      <c r="BA83" s="117">
        <v>2626</v>
      </c>
      <c r="BC83" s="259"/>
      <c r="BE83" s="26">
        <v>2626</v>
      </c>
      <c r="BF83" s="26"/>
      <c r="BH83" s="26">
        <v>2626</v>
      </c>
      <c r="BI83" s="244"/>
      <c r="BJ83" s="16">
        <f t="shared" si="47"/>
        <v>2626</v>
      </c>
      <c r="BK83" s="122">
        <f t="shared" si="48"/>
        <v>0</v>
      </c>
      <c r="BM83" s="117">
        <v>2626</v>
      </c>
      <c r="BN83" s="117">
        <v>2626</v>
      </c>
      <c r="BP83" s="259"/>
      <c r="BR83" s="117">
        <v>2626</v>
      </c>
      <c r="BS83" s="26"/>
      <c r="BU83" s="26">
        <v>2626</v>
      </c>
      <c r="BV83" s="244"/>
      <c r="BW83" s="576">
        <f t="shared" si="49"/>
        <v>2626</v>
      </c>
      <c r="BX83" s="577">
        <f t="shared" si="50"/>
        <v>0</v>
      </c>
      <c r="BZ83" s="166">
        <v>2626</v>
      </c>
      <c r="CA83" s="166">
        <v>2626</v>
      </c>
      <c r="CC83" s="753"/>
      <c r="CE83" s="166">
        <v>2626</v>
      </c>
      <c r="CF83" s="166"/>
      <c r="CJ83" s="886"/>
      <c r="CK83" s="1"/>
      <c r="CO83" s="16"/>
    </row>
    <row r="84" spans="1:93" x14ac:dyDescent="0.3">
      <c r="A84" s="11">
        <v>135</v>
      </c>
      <c r="B84" s="3" t="s">
        <v>2</v>
      </c>
      <c r="C84" s="37">
        <v>13505</v>
      </c>
      <c r="D84" s="37">
        <v>57300</v>
      </c>
      <c r="E84" s="49" t="s">
        <v>118</v>
      </c>
      <c r="F84" s="3" t="s">
        <v>2</v>
      </c>
      <c r="G84" s="3" t="s">
        <v>28</v>
      </c>
      <c r="H84" s="26">
        <v>120</v>
      </c>
      <c r="I84" s="244">
        <v>100</v>
      </c>
      <c r="J84" s="16">
        <f t="shared" si="39"/>
        <v>220</v>
      </c>
      <c r="K84" s="122">
        <f t="shared" si="40"/>
        <v>0.83333333333333337</v>
      </c>
      <c r="M84" s="117">
        <v>220</v>
      </c>
      <c r="N84" s="117">
        <v>220</v>
      </c>
      <c r="P84" s="259" t="s">
        <v>498</v>
      </c>
      <c r="R84" s="26">
        <v>220</v>
      </c>
      <c r="S84" s="26">
        <v>190</v>
      </c>
      <c r="U84" s="26">
        <v>220</v>
      </c>
      <c r="V84" s="244">
        <v>0</v>
      </c>
      <c r="W84" s="16">
        <f t="shared" si="41"/>
        <v>220</v>
      </c>
      <c r="X84" s="122">
        <f t="shared" si="42"/>
        <v>0</v>
      </c>
      <c r="Z84" s="117">
        <v>220</v>
      </c>
      <c r="AA84" s="117">
        <v>220</v>
      </c>
      <c r="AC84" s="259"/>
      <c r="AE84" s="26">
        <v>220</v>
      </c>
      <c r="AF84" s="200">
        <v>145</v>
      </c>
      <c r="AH84" s="26">
        <v>220</v>
      </c>
      <c r="AI84" s="244"/>
      <c r="AJ84" s="16">
        <f t="shared" si="43"/>
        <v>220</v>
      </c>
      <c r="AK84" s="122">
        <f t="shared" si="44"/>
        <v>0</v>
      </c>
      <c r="AM84" s="117">
        <v>220</v>
      </c>
      <c r="AN84" s="117">
        <v>220</v>
      </c>
      <c r="AP84" s="259"/>
      <c r="AR84" s="26">
        <v>220</v>
      </c>
      <c r="AS84" s="26">
        <v>145</v>
      </c>
      <c r="AU84" s="26">
        <f t="shared" si="38"/>
        <v>220</v>
      </c>
      <c r="AV84" s="244"/>
      <c r="AW84" s="16">
        <f t="shared" si="45"/>
        <v>220</v>
      </c>
      <c r="AX84" s="122">
        <f t="shared" si="46"/>
        <v>0</v>
      </c>
      <c r="AZ84" s="117">
        <v>220</v>
      </c>
      <c r="BA84" s="117">
        <v>220</v>
      </c>
      <c r="BC84" s="259"/>
      <c r="BE84" s="26">
        <v>220</v>
      </c>
      <c r="BF84" s="26">
        <v>145</v>
      </c>
      <c r="BH84" s="26">
        <v>220</v>
      </c>
      <c r="BI84" s="244"/>
      <c r="BJ84" s="16">
        <f t="shared" si="47"/>
        <v>220</v>
      </c>
      <c r="BK84" s="122">
        <f t="shared" si="48"/>
        <v>0</v>
      </c>
      <c r="BM84" s="117">
        <v>220</v>
      </c>
      <c r="BN84" s="117">
        <v>220</v>
      </c>
      <c r="BP84" s="259"/>
      <c r="BR84" s="117">
        <v>220</v>
      </c>
      <c r="BS84" s="26"/>
      <c r="BU84" s="26">
        <v>220</v>
      </c>
      <c r="BV84" s="244"/>
      <c r="BW84" s="576">
        <f t="shared" si="49"/>
        <v>220</v>
      </c>
      <c r="BX84" s="577">
        <f t="shared" si="50"/>
        <v>0</v>
      </c>
      <c r="BZ84" s="166">
        <v>220</v>
      </c>
      <c r="CA84" s="166">
        <v>220</v>
      </c>
      <c r="CC84" s="753"/>
      <c r="CE84" s="166">
        <v>220</v>
      </c>
      <c r="CF84" s="166"/>
      <c r="CJ84" s="886"/>
      <c r="CK84" s="1"/>
      <c r="CO84" s="16"/>
    </row>
    <row r="85" spans="1:93" s="19" customFormat="1" x14ac:dyDescent="0.3">
      <c r="A85" s="27"/>
      <c r="B85" s="8"/>
      <c r="C85" s="42"/>
      <c r="D85" s="42"/>
      <c r="E85" s="54"/>
      <c r="F85" s="8"/>
      <c r="G85" s="8" t="s">
        <v>137</v>
      </c>
      <c r="H85" s="28">
        <f>SUM(H77:H84)</f>
        <v>23996</v>
      </c>
      <c r="I85" s="28">
        <f>SUM(I77:I84)</f>
        <v>2130</v>
      </c>
      <c r="J85" s="28">
        <f>SUM(J77:J84)</f>
        <v>26126</v>
      </c>
      <c r="K85" s="123">
        <f t="shared" si="40"/>
        <v>8.8764794132355399E-2</v>
      </c>
      <c r="M85" s="28">
        <f>SUM(M77:M84)</f>
        <v>26126</v>
      </c>
      <c r="N85" s="28">
        <f>SUM(N77:N84)</f>
        <v>26126</v>
      </c>
      <c r="P85" s="139">
        <f>SUM(P77:P84)</f>
        <v>0</v>
      </c>
      <c r="R85" s="28">
        <f>SUM(R77:R84)</f>
        <v>26126</v>
      </c>
      <c r="S85" s="28">
        <f>SUM(S77:S84)</f>
        <v>27529.35</v>
      </c>
      <c r="U85" s="28">
        <f>SUM(U77:U84)</f>
        <v>26126</v>
      </c>
      <c r="V85" s="28">
        <f>SUM(V77:V84)</f>
        <v>0</v>
      </c>
      <c r="W85" s="28">
        <f>SUM(W77:W84)</f>
        <v>26126</v>
      </c>
      <c r="X85" s="123">
        <f t="shared" si="42"/>
        <v>0</v>
      </c>
      <c r="Z85" s="28">
        <f>SUM(Z77:Z84)</f>
        <v>26126</v>
      </c>
      <c r="AA85" s="28">
        <f>SUM(AA77:AA84)</f>
        <v>30226</v>
      </c>
      <c r="AC85" s="139"/>
      <c r="AE85" s="28">
        <f>SUM(AE77:AE84)</f>
        <v>30226</v>
      </c>
      <c r="AF85" s="201">
        <f>SUM(AF77:AF84)</f>
        <v>29970.53</v>
      </c>
      <c r="AH85" s="28">
        <v>30226</v>
      </c>
      <c r="AI85" s="28">
        <f>SUM(AI77:AI84)</f>
        <v>0</v>
      </c>
      <c r="AJ85" s="28">
        <f>SUM(AJ77:AJ84)</f>
        <v>30226</v>
      </c>
      <c r="AK85" s="123">
        <f>IF(AH85=0," ",(AJ85-AH85)/AH85)</f>
        <v>0</v>
      </c>
      <c r="AM85" s="28">
        <f>SUM(AM77:AM84)</f>
        <v>30226</v>
      </c>
      <c r="AN85" s="28">
        <f>SUM(AN77:AN84)</f>
        <v>30226</v>
      </c>
      <c r="AP85" s="139"/>
      <c r="AR85" s="28">
        <f>SUM(AR77:AR84)</f>
        <v>30226</v>
      </c>
      <c r="AS85" s="28">
        <f>SUM(AS77:AS84)</f>
        <v>28118.46</v>
      </c>
      <c r="AU85" s="28">
        <f>SUM(AU77:AU84)</f>
        <v>30226</v>
      </c>
      <c r="AV85" s="28">
        <f>SUM(AV77:AV84)</f>
        <v>0</v>
      </c>
      <c r="AW85" s="28">
        <f>SUM(AW77:AW84)</f>
        <v>30226</v>
      </c>
      <c r="AX85" s="123">
        <f>IF(AU85=0," ",(AW85-AU85)/AU85)</f>
        <v>0</v>
      </c>
      <c r="AZ85" s="28">
        <f>SUM(AZ77:AZ84)</f>
        <v>30226</v>
      </c>
      <c r="BA85" s="28">
        <f>SUM(BA77:BA84)</f>
        <v>32026</v>
      </c>
      <c r="BC85" s="139"/>
      <c r="BE85" s="28">
        <f>SUM(BE77:BE84)</f>
        <v>32026</v>
      </c>
      <c r="BF85" s="28">
        <f>SUM(BF77:BF84)</f>
        <v>31752.66</v>
      </c>
      <c r="BG85" s="9"/>
      <c r="BH85" s="28">
        <f>SUM(BH77:BH84)</f>
        <v>32026</v>
      </c>
      <c r="BI85" s="28">
        <f>SUM(BI77:BI84)</f>
        <v>0</v>
      </c>
      <c r="BJ85" s="28">
        <f>SUM(BJ77:BJ84)</f>
        <v>32026</v>
      </c>
      <c r="BK85" s="123">
        <f>IF(BH85=0," ",(BJ85-BH85)/BH85)</f>
        <v>0</v>
      </c>
      <c r="BM85" s="28">
        <f>SUM(BM77:BM84)</f>
        <v>32026</v>
      </c>
      <c r="BN85" s="28">
        <f>SUM(BN77:BN84)</f>
        <v>37026</v>
      </c>
      <c r="BP85" s="139"/>
      <c r="BR85" s="28">
        <f>SUM(BR77:BR84)</f>
        <v>37026</v>
      </c>
      <c r="BS85" s="28">
        <f>SUM(BS77:BS84)</f>
        <v>80</v>
      </c>
      <c r="BT85" s="9"/>
      <c r="BU85" s="28">
        <f>SUM(BU77:BU84)</f>
        <v>37026</v>
      </c>
      <c r="BV85" s="532">
        <f>SUM(BV77:BV84)</f>
        <v>0</v>
      </c>
      <c r="BW85" s="591">
        <f>SUM(BW77:BW84)</f>
        <v>37026</v>
      </c>
      <c r="BX85" s="579">
        <f>IF(BU85=0," ",(BW85-BU85)/BU85)</f>
        <v>0</v>
      </c>
      <c r="BY85" s="580"/>
      <c r="BZ85" s="591">
        <f>SUM(BZ77:BZ84)</f>
        <v>37026</v>
      </c>
      <c r="CA85" s="591">
        <f>SUM(CA77:CA84)</f>
        <v>37026</v>
      </c>
      <c r="CB85" s="580"/>
      <c r="CC85" s="769"/>
      <c r="CD85" s="580"/>
      <c r="CE85" s="591">
        <f>SUM(CE77:CE84)</f>
        <v>37026</v>
      </c>
      <c r="CF85" s="591">
        <f>SUM(CF77:CF84)</f>
        <v>0</v>
      </c>
      <c r="CG85" s="9"/>
      <c r="CH85" s="815"/>
      <c r="CI85" s="815"/>
      <c r="CJ85" s="886"/>
      <c r="CK85" s="1"/>
      <c r="CO85" s="16"/>
    </row>
    <row r="86" spans="1:93" ht="9.9" customHeight="1" x14ac:dyDescent="0.3">
      <c r="AS86" s="16"/>
      <c r="CJ86" s="886"/>
      <c r="CK86" s="1"/>
      <c r="CO86" s="16"/>
    </row>
    <row r="87" spans="1:93" s="1" customFormat="1" x14ac:dyDescent="0.3">
      <c r="A87" s="20"/>
      <c r="B87" s="5"/>
      <c r="C87" s="39"/>
      <c r="D87" s="39"/>
      <c r="E87" s="51"/>
      <c r="F87" s="5"/>
      <c r="G87" s="21" t="s">
        <v>133</v>
      </c>
      <c r="H87" s="22">
        <f>H76+H85</f>
        <v>157957</v>
      </c>
      <c r="I87" s="22">
        <f>I76+I85</f>
        <v>8047</v>
      </c>
      <c r="J87" s="22">
        <f>J76+J85</f>
        <v>166004</v>
      </c>
      <c r="K87" s="124">
        <f>IF(H87=0," ",(J87-H87)/H87)</f>
        <v>5.0944244319656613E-2</v>
      </c>
      <c r="M87" s="22">
        <f>M76+M85</f>
        <v>166004</v>
      </c>
      <c r="N87" s="22">
        <f>N76+N85</f>
        <v>166004</v>
      </c>
      <c r="P87" s="136">
        <f>P76+P85</f>
        <v>0</v>
      </c>
      <c r="R87" s="22">
        <f>R76+R85</f>
        <v>166004</v>
      </c>
      <c r="S87" s="22">
        <f>S76+S85</f>
        <v>161253.49000000002</v>
      </c>
      <c r="U87" s="22">
        <f>U76+U85</f>
        <v>166004</v>
      </c>
      <c r="V87" s="22">
        <f>V76+V85</f>
        <v>6705</v>
      </c>
      <c r="W87" s="22">
        <f>W76+W85</f>
        <v>172709</v>
      </c>
      <c r="X87" s="124">
        <f>IF(U87=0," ",(W87-U87)/U87)</f>
        <v>4.0390592997759094E-2</v>
      </c>
      <c r="Z87" s="22">
        <f>Z76+Z85</f>
        <v>172709</v>
      </c>
      <c r="AA87" s="22">
        <f>AA76+AA85</f>
        <v>176809</v>
      </c>
      <c r="AC87" s="136"/>
      <c r="AE87" s="22">
        <f>AE76+AE85</f>
        <v>176809</v>
      </c>
      <c r="AF87" s="199">
        <f>AF76+AF85</f>
        <v>176015.54</v>
      </c>
      <c r="AH87" s="22">
        <v>176809</v>
      </c>
      <c r="AI87" s="22">
        <f>AI76+AI85</f>
        <v>8278</v>
      </c>
      <c r="AJ87" s="22">
        <f>AJ76+AJ85</f>
        <v>185087</v>
      </c>
      <c r="AK87" s="124">
        <f>IF(AH87=0," ",(AJ87-AH87)/AH87)</f>
        <v>4.6818883654112631E-2</v>
      </c>
      <c r="AM87" s="22">
        <f>AM76+AM85</f>
        <v>185087</v>
      </c>
      <c r="AN87" s="22">
        <f>AN76+AN85</f>
        <v>185087</v>
      </c>
      <c r="AP87" s="136"/>
      <c r="AR87" s="22">
        <f>AR76+AR85</f>
        <v>185087</v>
      </c>
      <c r="AS87" s="22">
        <f>AS76+AS85</f>
        <v>182978.43999999997</v>
      </c>
      <c r="AU87" s="22">
        <f>AU76+AU85</f>
        <v>185087</v>
      </c>
      <c r="AV87" s="22">
        <f>AV76+AV85</f>
        <v>6773</v>
      </c>
      <c r="AW87" s="22">
        <f>AW76+AW85</f>
        <v>191860</v>
      </c>
      <c r="AX87" s="124">
        <f>IF(AU87=0," ",(AW87-AU87)/AU87)</f>
        <v>3.6593601927742088E-2</v>
      </c>
      <c r="AZ87" s="22">
        <f>AZ76+AZ85</f>
        <v>191229</v>
      </c>
      <c r="BA87" s="22">
        <f>BA76+BA85</f>
        <v>190483</v>
      </c>
      <c r="BC87" s="136"/>
      <c r="BE87" s="22">
        <f>BE76+BE85</f>
        <v>190483</v>
      </c>
      <c r="BF87" s="22">
        <f>BF76+BF85</f>
        <v>190208.55000000002</v>
      </c>
      <c r="BH87" s="22">
        <f>BH76+BH85</f>
        <v>190483</v>
      </c>
      <c r="BI87" s="22">
        <f>BI76+BI85</f>
        <v>3192</v>
      </c>
      <c r="BJ87" s="22">
        <f>BJ76+BJ85</f>
        <v>193675</v>
      </c>
      <c r="BK87" s="124">
        <f>IF(BH87=0," ",(BJ87-BH87)/BH87)</f>
        <v>1.6757400922917005E-2</v>
      </c>
      <c r="BM87" s="22">
        <f>BM76+BM85</f>
        <v>193675</v>
      </c>
      <c r="BN87" s="22">
        <f>BN76+BN85</f>
        <v>208072</v>
      </c>
      <c r="BP87" s="136"/>
      <c r="BR87" s="22">
        <f>BR76+BR85</f>
        <v>208072</v>
      </c>
      <c r="BS87" s="22">
        <f>BS76+BS85</f>
        <v>76669.179999999993</v>
      </c>
      <c r="BU87" s="22">
        <f>BU76+BU85</f>
        <v>208072</v>
      </c>
      <c r="BV87" s="531">
        <f>BV76+BV85</f>
        <v>3411</v>
      </c>
      <c r="BW87" s="581">
        <f>BW76+BW85</f>
        <v>211483</v>
      </c>
      <c r="BX87" s="582">
        <f>IF(BU87=0," ",(BW87-BU87)/BU87)</f>
        <v>1.6393363835595372E-2</v>
      </c>
      <c r="BY87" s="573"/>
      <c r="BZ87" s="581">
        <f>BZ76+BZ85</f>
        <v>211483</v>
      </c>
      <c r="CA87" s="581">
        <f>CA76+CA85</f>
        <v>211483</v>
      </c>
      <c r="CB87" s="573"/>
      <c r="CC87" s="764"/>
      <c r="CD87" s="573"/>
      <c r="CE87" s="581">
        <f>CE76+CE85</f>
        <v>211483</v>
      </c>
      <c r="CF87" s="581">
        <f>CF76+CF85</f>
        <v>0</v>
      </c>
      <c r="CH87" s="812"/>
      <c r="CI87" s="812"/>
      <c r="CJ87" s="886"/>
      <c r="CO87" s="16"/>
    </row>
    <row r="88" spans="1:93" ht="20.100000000000001" customHeight="1" x14ac:dyDescent="0.3">
      <c r="AS88" s="16"/>
      <c r="CJ88" s="886"/>
      <c r="CK88" s="1"/>
      <c r="CO88" s="16"/>
    </row>
    <row r="89" spans="1:93" s="1" customFormat="1" ht="15.6" x14ac:dyDescent="0.3">
      <c r="A89" s="14" t="s">
        <v>135</v>
      </c>
      <c r="B89" s="2"/>
      <c r="C89" s="36"/>
      <c r="D89" s="36"/>
      <c r="E89" s="48"/>
      <c r="F89" s="2"/>
      <c r="G89" s="2"/>
      <c r="H89" s="15"/>
      <c r="I89" s="15"/>
      <c r="J89" s="15"/>
      <c r="K89" s="121"/>
      <c r="M89" s="15"/>
      <c r="N89" s="15"/>
      <c r="P89" s="133"/>
      <c r="R89" s="15"/>
      <c r="S89" s="15"/>
      <c r="U89" s="15"/>
      <c r="V89" s="15"/>
      <c r="W89" s="15"/>
      <c r="X89" s="121"/>
      <c r="Z89" s="15"/>
      <c r="AA89" s="233"/>
      <c r="AC89" s="234"/>
      <c r="AE89" s="233"/>
      <c r="AF89" s="275"/>
      <c r="AH89" s="233"/>
      <c r="AI89" s="233"/>
      <c r="AJ89" s="15"/>
      <c r="AK89" s="121"/>
      <c r="AM89" s="15"/>
      <c r="AN89" s="15"/>
      <c r="AP89" s="133"/>
      <c r="AR89" s="15"/>
      <c r="AS89" s="15"/>
      <c r="AU89" s="233"/>
      <c r="AV89" s="233"/>
      <c r="AW89" s="15"/>
      <c r="AX89" s="121"/>
      <c r="AZ89" s="15"/>
      <c r="BA89" s="15"/>
      <c r="BC89" s="133"/>
      <c r="BE89" s="15"/>
      <c r="BF89" s="15"/>
      <c r="BH89" s="15"/>
      <c r="BI89" s="233"/>
      <c r="BJ89" s="15"/>
      <c r="BK89" s="121"/>
      <c r="BM89" s="15"/>
      <c r="BN89" s="15"/>
      <c r="BP89" s="234"/>
      <c r="BR89" s="15"/>
      <c r="BS89" s="233"/>
      <c r="BU89" s="15"/>
      <c r="BV89" s="372"/>
      <c r="BW89" s="574"/>
      <c r="BX89" s="575"/>
      <c r="BY89" s="573"/>
      <c r="BZ89" s="574"/>
      <c r="CA89" s="574"/>
      <c r="CB89" s="573"/>
      <c r="CC89" s="761"/>
      <c r="CD89" s="573"/>
      <c r="CE89" s="574"/>
      <c r="CF89" s="574"/>
      <c r="CH89" s="812"/>
      <c r="CI89" s="812"/>
      <c r="CJ89" s="886"/>
      <c r="CO89" s="16"/>
    </row>
    <row r="90" spans="1:93" x14ac:dyDescent="0.3">
      <c r="A90" s="11">
        <v>141</v>
      </c>
      <c r="B90" s="3" t="s">
        <v>2</v>
      </c>
      <c r="C90" s="37">
        <v>14101</v>
      </c>
      <c r="D90" s="37">
        <v>51110</v>
      </c>
      <c r="E90" s="49" t="s">
        <v>119</v>
      </c>
      <c r="F90" s="3" t="s">
        <v>2</v>
      </c>
      <c r="G90" s="3" t="s">
        <v>29</v>
      </c>
      <c r="H90" s="26">
        <v>4500</v>
      </c>
      <c r="I90" s="244"/>
      <c r="J90" s="16">
        <f>H90+I90</f>
        <v>4500</v>
      </c>
      <c r="K90" s="122">
        <f>IF(H90=0," ",(J90-H90)/H90)</f>
        <v>0</v>
      </c>
      <c r="M90" s="117">
        <v>4500</v>
      </c>
      <c r="N90" s="117">
        <v>4500</v>
      </c>
      <c r="P90" s="259"/>
      <c r="R90" s="26">
        <v>4500</v>
      </c>
      <c r="S90" s="26">
        <v>4500</v>
      </c>
      <c r="U90" s="26">
        <v>4500</v>
      </c>
      <c r="V90" s="244">
        <v>0</v>
      </c>
      <c r="W90" s="16">
        <f>U90+V90</f>
        <v>4500</v>
      </c>
      <c r="X90" s="122">
        <f>IF(U90=0," ",(W90-U90)/U90)</f>
        <v>0</v>
      </c>
      <c r="Z90" s="117">
        <v>4500</v>
      </c>
      <c r="AA90" s="117">
        <v>4500</v>
      </c>
      <c r="AC90" s="259"/>
      <c r="AE90" s="26">
        <v>4500</v>
      </c>
      <c r="AF90" s="200">
        <v>4500</v>
      </c>
      <c r="AH90" s="26">
        <v>4500</v>
      </c>
      <c r="AI90" s="244"/>
      <c r="AJ90" s="16">
        <f>AH90+AI90</f>
        <v>4500</v>
      </c>
      <c r="AK90" s="122">
        <f>IF(AH90=0," ",(AJ90-AH90)/AH90)</f>
        <v>0</v>
      </c>
      <c r="AM90" s="117">
        <v>4500</v>
      </c>
      <c r="AN90" s="117">
        <v>4500</v>
      </c>
      <c r="AP90" s="259"/>
      <c r="AR90" s="26">
        <v>4500</v>
      </c>
      <c r="AS90" s="26">
        <v>4500</v>
      </c>
      <c r="AU90" s="26">
        <f>AR90</f>
        <v>4500</v>
      </c>
      <c r="AV90" s="244"/>
      <c r="AW90" s="16">
        <f>AU90+AV90</f>
        <v>4500</v>
      </c>
      <c r="AX90" s="122">
        <f>IF(AU90=0," ",(AW90-AU90)/AU90)</f>
        <v>0</v>
      </c>
      <c r="AZ90" s="117">
        <v>4500</v>
      </c>
      <c r="BA90" s="117">
        <v>4500</v>
      </c>
      <c r="BC90" s="259"/>
      <c r="BE90" s="26">
        <v>4500</v>
      </c>
      <c r="BF90" s="26">
        <v>4500</v>
      </c>
      <c r="BH90" s="26">
        <v>4500</v>
      </c>
      <c r="BI90" s="244"/>
      <c r="BJ90" s="16">
        <f>BH90+BI90</f>
        <v>4500</v>
      </c>
      <c r="BK90" s="122">
        <f>IF(BH90=0," ",(BJ90-BH90)/BH90)</f>
        <v>0</v>
      </c>
      <c r="BM90" s="117">
        <v>4500</v>
      </c>
      <c r="BN90" s="117">
        <v>4500</v>
      </c>
      <c r="BP90" s="259"/>
      <c r="BR90" s="117">
        <v>4500</v>
      </c>
      <c r="BS90" s="26">
        <v>2250</v>
      </c>
      <c r="BU90" s="26">
        <v>4500</v>
      </c>
      <c r="BV90" s="244"/>
      <c r="BW90" s="576">
        <f>BU90+BV90</f>
        <v>4500</v>
      </c>
      <c r="BX90" s="577">
        <f>IF(BU90=0," ",(BW90-BU90)/BU90)</f>
        <v>0</v>
      </c>
      <c r="BZ90" s="166">
        <v>4500</v>
      </c>
      <c r="CA90" s="166">
        <v>4500</v>
      </c>
      <c r="CC90" s="753"/>
      <c r="CE90" s="166">
        <v>4500</v>
      </c>
      <c r="CF90" s="166"/>
      <c r="CJ90" s="886"/>
      <c r="CK90" s="1"/>
      <c r="CO90" s="16"/>
    </row>
    <row r="91" spans="1:93" x14ac:dyDescent="0.3">
      <c r="A91" s="11">
        <v>141</v>
      </c>
      <c r="B91" s="3" t="s">
        <v>2</v>
      </c>
      <c r="C91" s="37">
        <v>14101</v>
      </c>
      <c r="D91" s="37">
        <v>51120</v>
      </c>
      <c r="E91" s="49" t="s">
        <v>119</v>
      </c>
      <c r="F91" s="3" t="s">
        <v>2</v>
      </c>
      <c r="G91" s="3" t="s">
        <v>30</v>
      </c>
      <c r="H91" s="26">
        <v>72726</v>
      </c>
      <c r="I91" s="244">
        <v>5274</v>
      </c>
      <c r="J91" s="16">
        <f>H91+I91</f>
        <v>78000</v>
      </c>
      <c r="K91" s="122">
        <f>IF(H91=0," ",(J91-H91)/H91)</f>
        <v>7.2518769078458875E-2</v>
      </c>
      <c r="M91" s="117">
        <v>78000</v>
      </c>
      <c r="N91" s="117">
        <v>78000</v>
      </c>
      <c r="P91" s="259" t="s">
        <v>516</v>
      </c>
      <c r="R91" s="26">
        <v>78000</v>
      </c>
      <c r="S91" s="26">
        <v>78000</v>
      </c>
      <c r="U91" s="26">
        <v>78000</v>
      </c>
      <c r="V91" s="244">
        <v>3744</v>
      </c>
      <c r="W91" s="16">
        <f>U91+V91</f>
        <v>81744</v>
      </c>
      <c r="X91" s="122">
        <f>IF(U91=0," ",(W91-U91)/U91)</f>
        <v>4.8000000000000001E-2</v>
      </c>
      <c r="Z91" s="117">
        <v>81744</v>
      </c>
      <c r="AA91" s="117">
        <v>81744</v>
      </c>
      <c r="AC91" s="259" t="s">
        <v>654</v>
      </c>
      <c r="AE91" s="26">
        <v>81744</v>
      </c>
      <c r="AF91" s="200">
        <v>81744</v>
      </c>
      <c r="AH91" s="26">
        <v>81744</v>
      </c>
      <c r="AI91" s="244">
        <v>4591</v>
      </c>
      <c r="AJ91" s="16">
        <f>AH91+AI91</f>
        <v>86335</v>
      </c>
      <c r="AK91" s="122">
        <f>IF(AH91=0," ",(AJ91-AH91)/AH91)</f>
        <v>5.6163143472303778E-2</v>
      </c>
      <c r="AM91" s="117">
        <v>86335</v>
      </c>
      <c r="AN91" s="117">
        <v>86335</v>
      </c>
      <c r="AP91" s="259" t="s">
        <v>792</v>
      </c>
      <c r="AR91" s="26">
        <v>86335</v>
      </c>
      <c r="AS91" s="26">
        <v>86334.24</v>
      </c>
      <c r="AU91" s="26">
        <f>AR91</f>
        <v>86335</v>
      </c>
      <c r="AV91" s="244">
        <v>3804</v>
      </c>
      <c r="AW91" s="16">
        <f>AU91+AV91</f>
        <v>90139</v>
      </c>
      <c r="AX91" s="122">
        <f>IF(AU91=0," ",(AW91-AU91)/AU91)</f>
        <v>4.4060925464759371E-2</v>
      </c>
      <c r="AZ91" s="117">
        <v>89784</v>
      </c>
      <c r="BA91" s="117">
        <v>88365</v>
      </c>
      <c r="BC91" s="259" t="s">
        <v>967</v>
      </c>
      <c r="BE91" s="26">
        <v>88365</v>
      </c>
      <c r="BF91" s="26">
        <v>88364.160000000003</v>
      </c>
      <c r="BH91" s="26">
        <v>88365</v>
      </c>
      <c r="BI91" s="244">
        <v>1774</v>
      </c>
      <c r="BJ91" s="16">
        <f>BH91+BI91</f>
        <v>90139</v>
      </c>
      <c r="BK91" s="122">
        <f>IF(BH91=0," ",(BJ91-BH91)/BH91)</f>
        <v>2.0075821875176824E-2</v>
      </c>
      <c r="BM91" s="117">
        <v>90139</v>
      </c>
      <c r="BN91" s="117">
        <v>90139</v>
      </c>
      <c r="BP91" s="428" t="s">
        <v>1292</v>
      </c>
      <c r="BR91" s="117">
        <v>90139</v>
      </c>
      <c r="BS91" s="26">
        <v>40407.120000000003</v>
      </c>
      <c r="BU91" s="26">
        <v>90139</v>
      </c>
      <c r="BV91" s="244">
        <v>1796</v>
      </c>
      <c r="BW91" s="576">
        <f>BU91+BV91</f>
        <v>91935</v>
      </c>
      <c r="BX91" s="577">
        <f>IF(BU91=0," ",(BW91-BU91)/BU91)</f>
        <v>1.9924782835398662E-2</v>
      </c>
      <c r="BZ91" s="166">
        <v>91935</v>
      </c>
      <c r="CA91" s="166">
        <v>91935</v>
      </c>
      <c r="CC91" s="765" t="s">
        <v>1377</v>
      </c>
      <c r="CE91" s="166">
        <v>91935</v>
      </c>
      <c r="CF91" s="166"/>
      <c r="CJ91" s="886"/>
      <c r="CK91" s="1"/>
      <c r="CO91" s="16"/>
    </row>
    <row r="92" spans="1:93" x14ac:dyDescent="0.3">
      <c r="H92" s="145">
        <f>SUM(H90:H91)</f>
        <v>77226</v>
      </c>
      <c r="I92" s="32">
        <f>SUM(I90:I91)</f>
        <v>5274</v>
      </c>
      <c r="J92" s="32">
        <f>SUM(J90:J91)</f>
        <v>82500</v>
      </c>
      <c r="K92" s="128">
        <f>IF(H92=0," ",(J92-H92)/H92)</f>
        <v>6.8293061922150566E-2</v>
      </c>
      <c r="M92" s="32">
        <f>SUM(M90:M91)</f>
        <v>82500</v>
      </c>
      <c r="N92" s="32">
        <f>SUM(N90:N91)</f>
        <v>82500</v>
      </c>
      <c r="P92" s="141">
        <f>SUM(P90:P91)</f>
        <v>0</v>
      </c>
      <c r="R92" s="145">
        <f>SUM(R90:R91)</f>
        <v>82500</v>
      </c>
      <c r="S92" s="32">
        <f>SUM(S90:S91)</f>
        <v>82500</v>
      </c>
      <c r="U92" s="32">
        <f>SUM(U90:U91)</f>
        <v>82500</v>
      </c>
      <c r="V92" s="32">
        <f>SUM(V90:V91)</f>
        <v>3744</v>
      </c>
      <c r="W92" s="32">
        <f>SUM(W90:W91)</f>
        <v>86244</v>
      </c>
      <c r="X92" s="128">
        <f>IF(U92=0," ",(W92-U92)/U92)</f>
        <v>4.5381818181818183E-2</v>
      </c>
      <c r="Z92" s="32">
        <f>SUM(Z90:Z91)</f>
        <v>86244</v>
      </c>
      <c r="AA92" s="32">
        <f>SUM(AA90:AA91)</f>
        <v>86244</v>
      </c>
      <c r="AC92" s="141"/>
      <c r="AE92" s="32">
        <f>SUM(AE90:AE91)</f>
        <v>86244</v>
      </c>
      <c r="AF92" s="274">
        <f>SUM(AF90:AF91)</f>
        <v>86244</v>
      </c>
      <c r="AH92" s="32">
        <v>86244</v>
      </c>
      <c r="AI92" s="32">
        <f>SUM(AI90:AI91)</f>
        <v>4591</v>
      </c>
      <c r="AJ92" s="32">
        <f>SUM(AJ90:AJ91)</f>
        <v>90835</v>
      </c>
      <c r="AK92" s="128">
        <f>IF(AH92=0," ",(AJ92-AH92)/AH92)</f>
        <v>5.3232688650804695E-2</v>
      </c>
      <c r="AM92" s="32">
        <f>SUM(AM90:AM91)</f>
        <v>90835</v>
      </c>
      <c r="AN92" s="32">
        <f>SUM(AN90:AN91)</f>
        <v>90835</v>
      </c>
      <c r="AP92" s="141"/>
      <c r="AR92" s="145">
        <f>SUM(AR90:AR91)</f>
        <v>90835</v>
      </c>
      <c r="AS92" s="145">
        <f>SUM(AS90:AS91)</f>
        <v>90834.240000000005</v>
      </c>
      <c r="AU92" s="145">
        <f>SUM(AU90:AU91)</f>
        <v>90835</v>
      </c>
      <c r="AV92" s="32">
        <f>SUM(AV90:AV91)</f>
        <v>3804</v>
      </c>
      <c r="AW92" s="32">
        <f>SUM(AW90:AW91)</f>
        <v>94639</v>
      </c>
      <c r="AX92" s="128">
        <f>IF(AU92=0," ",(AW92-AU92)/AU92)</f>
        <v>4.1878130676501348E-2</v>
      </c>
      <c r="AZ92" s="32">
        <f>SUM(AZ90:AZ91)</f>
        <v>94284</v>
      </c>
      <c r="BA92" s="32">
        <f>SUM(BA90:BA91)</f>
        <v>92865</v>
      </c>
      <c r="BC92" s="141"/>
      <c r="BE92" s="145">
        <f>SUM(BE90:BE91)</f>
        <v>92865</v>
      </c>
      <c r="BF92" s="145">
        <f>SUM(BF90:BF91)</f>
        <v>92864.16</v>
      </c>
      <c r="BH92" s="145">
        <f>SUM(BH90:BH91)</f>
        <v>92865</v>
      </c>
      <c r="BI92" s="32">
        <f>SUM(BI90:BI91)</f>
        <v>1774</v>
      </c>
      <c r="BJ92" s="32">
        <f>SUM(BJ90:BJ91)</f>
        <v>94639</v>
      </c>
      <c r="BK92" s="128">
        <f>IF(BH92=0," ",(BJ92-BH92)/BH92)</f>
        <v>1.9102998977009639E-2</v>
      </c>
      <c r="BM92" s="145">
        <f>SUM(BM90:BM91)</f>
        <v>94639</v>
      </c>
      <c r="BN92" s="145">
        <f>SUM(BN90:BN91)</f>
        <v>94639</v>
      </c>
      <c r="BP92" s="141"/>
      <c r="BR92" s="145">
        <f>SUM(BR90:BR91)</f>
        <v>94639</v>
      </c>
      <c r="BS92" s="145">
        <f>SUM(BS90:BS91)</f>
        <v>42657.120000000003</v>
      </c>
      <c r="BU92" s="145">
        <f>SUM(BU90:BU91)</f>
        <v>94639</v>
      </c>
      <c r="BV92" s="32">
        <f>SUM(BV90:BV91)</f>
        <v>1796</v>
      </c>
      <c r="BW92" s="595">
        <f>SUM(BW90:BW91)</f>
        <v>96435</v>
      </c>
      <c r="BX92" s="596">
        <f>IF(BU92=0," ",(BW92-BU92)/BU92)</f>
        <v>1.8977377191221379E-2</v>
      </c>
      <c r="BZ92" s="597">
        <f>SUM(BZ90:BZ91)</f>
        <v>96435</v>
      </c>
      <c r="CA92" s="597">
        <f>SUM(CA90:CA91)</f>
        <v>96435</v>
      </c>
      <c r="CC92" s="770"/>
      <c r="CE92" s="597">
        <f>SUM(CE90:CE91)</f>
        <v>96435</v>
      </c>
      <c r="CF92" s="597">
        <f>SUM(CF90:CF91)</f>
        <v>0</v>
      </c>
      <c r="CJ92" s="886"/>
      <c r="CK92" s="1"/>
      <c r="CO92" s="16"/>
    </row>
    <row r="93" spans="1:93" x14ac:dyDescent="0.3">
      <c r="H93" s="26"/>
      <c r="R93" s="26"/>
      <c r="AF93" s="200"/>
      <c r="AR93" s="26"/>
      <c r="AS93" s="26"/>
      <c r="BE93" s="26"/>
      <c r="BF93" s="26"/>
      <c r="BH93" s="26"/>
      <c r="BM93" s="26"/>
      <c r="BN93" s="26"/>
      <c r="BR93" s="26"/>
      <c r="BS93" s="26"/>
      <c r="BU93" s="26"/>
      <c r="BZ93" s="589"/>
      <c r="CA93" s="589"/>
      <c r="CE93" s="589"/>
      <c r="CF93" s="589"/>
      <c r="CJ93" s="886"/>
      <c r="CK93" s="1"/>
      <c r="CO93" s="16"/>
    </row>
    <row r="94" spans="1:93" x14ac:dyDescent="0.3">
      <c r="A94" s="11">
        <v>141</v>
      </c>
      <c r="B94" s="3" t="s">
        <v>2</v>
      </c>
      <c r="C94" s="37">
        <v>14102</v>
      </c>
      <c r="D94" s="37">
        <v>51130</v>
      </c>
      <c r="E94" s="49" t="s">
        <v>11</v>
      </c>
      <c r="F94" s="3" t="s">
        <v>2</v>
      </c>
      <c r="G94" s="3" t="s">
        <v>31</v>
      </c>
      <c r="H94" s="26">
        <v>44051</v>
      </c>
      <c r="I94" s="244">
        <v>715</v>
      </c>
      <c r="J94" s="16">
        <f>H94+I94</f>
        <v>44766</v>
      </c>
      <c r="K94" s="122">
        <f>IF(H94=0," ",(J94-H94)/H94)</f>
        <v>1.62311865791923E-2</v>
      </c>
      <c r="M94" s="117">
        <v>44766</v>
      </c>
      <c r="N94" s="117">
        <v>44766</v>
      </c>
      <c r="P94" s="259" t="s">
        <v>517</v>
      </c>
      <c r="R94" s="26">
        <v>44766</v>
      </c>
      <c r="S94" s="26">
        <v>44854.38</v>
      </c>
      <c r="U94" s="26">
        <v>44766</v>
      </c>
      <c r="V94" s="244">
        <v>2140</v>
      </c>
      <c r="W94" s="16">
        <f>U94+V94</f>
        <v>46906</v>
      </c>
      <c r="X94" s="122">
        <f>IF(U94=0," ",(W94-U94)/U94)</f>
        <v>4.780413706831077E-2</v>
      </c>
      <c r="Z94" s="117">
        <v>46906</v>
      </c>
      <c r="AA94" s="117">
        <v>46906</v>
      </c>
      <c r="AC94" s="259" t="s">
        <v>655</v>
      </c>
      <c r="AE94" s="26">
        <v>46906</v>
      </c>
      <c r="AF94" s="200">
        <v>46556.1</v>
      </c>
      <c r="AH94" s="26">
        <v>46906</v>
      </c>
      <c r="AI94" s="244">
        <v>2662</v>
      </c>
      <c r="AJ94" s="16">
        <f>AH94+AI94</f>
        <v>49568</v>
      </c>
      <c r="AK94" s="122">
        <f>IF(AH94=0," ",(AJ94-AH94)/AH94)</f>
        <v>5.6751801475291005E-2</v>
      </c>
      <c r="AM94" s="117">
        <v>49568</v>
      </c>
      <c r="AN94" s="117">
        <v>49568</v>
      </c>
      <c r="AP94" s="259" t="s">
        <v>793</v>
      </c>
      <c r="AR94" s="26">
        <v>49568</v>
      </c>
      <c r="AS94" s="26">
        <v>49539.6</v>
      </c>
      <c r="AU94" s="26">
        <f>AR94</f>
        <v>49568</v>
      </c>
      <c r="AV94" s="244">
        <v>2135</v>
      </c>
      <c r="AW94" s="16">
        <f>AU94+AV94</f>
        <v>51703</v>
      </c>
      <c r="AX94" s="122">
        <f>IF(AU94=0," ",(AW94-AU94)/AU94)</f>
        <v>4.3072143318269848E-2</v>
      </c>
      <c r="AZ94" s="117">
        <v>51508</v>
      </c>
      <c r="BA94" s="117">
        <v>50691</v>
      </c>
      <c r="BC94" s="259" t="s">
        <v>968</v>
      </c>
      <c r="BE94" s="26">
        <v>50691</v>
      </c>
      <c r="BF94" s="26">
        <v>47733.8</v>
      </c>
      <c r="BH94" s="26">
        <v>50691</v>
      </c>
      <c r="BI94" s="244">
        <v>1027</v>
      </c>
      <c r="BJ94" s="16">
        <f>BH94+BI94</f>
        <v>51718</v>
      </c>
      <c r="BK94" s="122">
        <f>IF(BH94=0," ",(BJ94-BH94)/BH94)</f>
        <v>2.0260006707305045E-2</v>
      </c>
      <c r="BM94" s="117">
        <v>51718</v>
      </c>
      <c r="BN94" s="117">
        <v>51718</v>
      </c>
      <c r="BP94" s="428" t="s">
        <v>1293</v>
      </c>
      <c r="BR94" s="117">
        <v>51718</v>
      </c>
      <c r="BS94" s="26">
        <v>17577</v>
      </c>
      <c r="BU94" s="26">
        <v>51718</v>
      </c>
      <c r="BV94" s="244">
        <v>-587</v>
      </c>
      <c r="BW94" s="576">
        <f>BU94+BV94</f>
        <v>51131</v>
      </c>
      <c r="BX94" s="577">
        <f>IF(BU94=0," ",(BW94-BU94)/BU94)</f>
        <v>-1.1350013534939479E-2</v>
      </c>
      <c r="BZ94" s="166">
        <v>51131</v>
      </c>
      <c r="CA94" s="166">
        <v>51131</v>
      </c>
      <c r="CC94" s="765" t="s">
        <v>1320</v>
      </c>
      <c r="CE94" s="166">
        <v>51131</v>
      </c>
      <c r="CF94" s="166"/>
      <c r="CJ94" s="886"/>
      <c r="CK94" s="1"/>
      <c r="CO94" s="16"/>
    </row>
    <row r="95" spans="1:93" x14ac:dyDescent="0.3">
      <c r="A95" s="11">
        <v>141</v>
      </c>
      <c r="B95" s="3" t="s">
        <v>2</v>
      </c>
      <c r="C95" s="37">
        <v>14102</v>
      </c>
      <c r="D95" s="37">
        <v>51310</v>
      </c>
      <c r="E95" s="49" t="s">
        <v>11</v>
      </c>
      <c r="F95" s="3" t="s">
        <v>2</v>
      </c>
      <c r="G95" s="3" t="s">
        <v>34</v>
      </c>
      <c r="H95" s="26">
        <v>500</v>
      </c>
      <c r="I95" s="244"/>
      <c r="J95" s="16">
        <f>H95+I95</f>
        <v>500</v>
      </c>
      <c r="K95" s="122">
        <f>IF(H95=0," ",(J95-H95)/H95)</f>
        <v>0</v>
      </c>
      <c r="M95" s="117">
        <v>500</v>
      </c>
      <c r="N95" s="117">
        <v>500</v>
      </c>
      <c r="P95" s="259"/>
      <c r="R95" s="26">
        <v>500</v>
      </c>
      <c r="S95" s="26">
        <v>0</v>
      </c>
      <c r="U95" s="26">
        <v>500</v>
      </c>
      <c r="V95" s="244">
        <v>0</v>
      </c>
      <c r="W95" s="16">
        <f>U95+V95</f>
        <v>500</v>
      </c>
      <c r="X95" s="122">
        <f>IF(U95=0," ",(W95-U95)/U95)</f>
        <v>0</v>
      </c>
      <c r="Z95" s="117">
        <v>500</v>
      </c>
      <c r="AA95" s="117">
        <v>500</v>
      </c>
      <c r="AC95" s="259"/>
      <c r="AE95" s="26">
        <v>500</v>
      </c>
      <c r="AF95" s="200">
        <v>0</v>
      </c>
      <c r="AH95" s="26">
        <v>500</v>
      </c>
      <c r="AI95" s="244"/>
      <c r="AJ95" s="16">
        <f>AH95+AI95</f>
        <v>500</v>
      </c>
      <c r="AK95" s="122">
        <f>IF(AH95=0," ",(AJ95-AH95)/AH95)</f>
        <v>0</v>
      </c>
      <c r="AM95" s="117">
        <v>500</v>
      </c>
      <c r="AN95" s="117">
        <v>500</v>
      </c>
      <c r="AP95" s="259"/>
      <c r="AR95" s="26">
        <v>500</v>
      </c>
      <c r="AS95" s="26"/>
      <c r="AU95" s="26">
        <f>AR95</f>
        <v>500</v>
      </c>
      <c r="AV95" s="244"/>
      <c r="AW95" s="16">
        <f>AU95+AV95</f>
        <v>500</v>
      </c>
      <c r="AX95" s="122">
        <f>IF(AU95=0," ",(AW95-AU95)/AU95)</f>
        <v>0</v>
      </c>
      <c r="AZ95" s="117"/>
      <c r="BA95" s="117"/>
      <c r="BC95" s="259"/>
      <c r="BE95" s="26"/>
      <c r="BF95" s="26"/>
      <c r="BH95" s="26"/>
      <c r="BI95" s="244"/>
      <c r="BJ95" s="16">
        <f>BH95+BI95</f>
        <v>0</v>
      </c>
      <c r="BK95" s="122" t="str">
        <f>IF(BH95=0," ",(BJ95-BH95)/BH95)</f>
        <v xml:space="preserve"> </v>
      </c>
      <c r="BM95" s="117">
        <v>0</v>
      </c>
      <c r="BN95" s="117">
        <v>0</v>
      </c>
      <c r="BP95" s="259"/>
      <c r="BR95" s="117">
        <v>0</v>
      </c>
      <c r="BS95" s="26"/>
      <c r="BU95" s="26">
        <v>0</v>
      </c>
      <c r="BV95" s="244"/>
      <c r="BW95" s="576">
        <f>BU95+BV95</f>
        <v>0</v>
      </c>
      <c r="BX95" s="577" t="str">
        <f>IF(BU95=0," ",(BW95-BU95)/BU95)</f>
        <v xml:space="preserve"> </v>
      </c>
      <c r="BZ95" s="166">
        <v>0</v>
      </c>
      <c r="CA95" s="166">
        <v>0</v>
      </c>
      <c r="CC95" s="753"/>
      <c r="CE95" s="166">
        <v>0</v>
      </c>
      <c r="CF95" s="166"/>
      <c r="CJ95" s="886"/>
      <c r="CK95" s="1"/>
      <c r="CO95" s="16"/>
    </row>
    <row r="96" spans="1:93" x14ac:dyDescent="0.3">
      <c r="H96" s="145">
        <f>SUM(H94:H95)</f>
        <v>44551</v>
      </c>
      <c r="I96" s="32">
        <f>SUM(I94:I95)</f>
        <v>715</v>
      </c>
      <c r="J96" s="32">
        <f>SUM(J94:J95)</f>
        <v>45266</v>
      </c>
      <c r="K96" s="128">
        <f>IF(H96=0," ",(J96-H96)/H96)</f>
        <v>1.6049022468631456E-2</v>
      </c>
      <c r="M96" s="32">
        <f>SUM(M94:M95)</f>
        <v>45266</v>
      </c>
      <c r="N96" s="32">
        <f>SUM(N94:N95)</f>
        <v>45266</v>
      </c>
      <c r="P96" s="141">
        <f>SUM(P94:P95)</f>
        <v>0</v>
      </c>
      <c r="R96" s="32">
        <f>SUM(R94:R95)</f>
        <v>45266</v>
      </c>
      <c r="S96" s="32">
        <f>SUM(S94:S95)</f>
        <v>44854.38</v>
      </c>
      <c r="U96" s="32">
        <f>SUM(U94:U95)</f>
        <v>45266</v>
      </c>
      <c r="V96" s="32">
        <f>SUM(V94:V95)</f>
        <v>2140</v>
      </c>
      <c r="W96" s="32">
        <f>SUM(W94:W95)</f>
        <v>47406</v>
      </c>
      <c r="X96" s="128">
        <f>IF(U96=0," ",(W96-U96)/U96)</f>
        <v>4.7276101268059915E-2</v>
      </c>
      <c r="Z96" s="32">
        <f>SUM(Z94:Z95)</f>
        <v>47406</v>
      </c>
      <c r="AA96" s="32">
        <f>SUM(AA94:AA95)</f>
        <v>47406</v>
      </c>
      <c r="AC96" s="141"/>
      <c r="AE96" s="32">
        <f>SUM(AE94:AE95)</f>
        <v>47406</v>
      </c>
      <c r="AF96" s="202">
        <f>SUM(AF94:AF95)</f>
        <v>46556.1</v>
      </c>
      <c r="AH96" s="32">
        <v>47406</v>
      </c>
      <c r="AI96" s="32">
        <f>SUM(AI94:AI95)</f>
        <v>2662</v>
      </c>
      <c r="AJ96" s="32">
        <f>SUM(AJ94:AJ95)</f>
        <v>50068</v>
      </c>
      <c r="AK96" s="128">
        <f>IF(AH96=0," ",(AJ96-AH96)/AH96)</f>
        <v>5.6153229549002238E-2</v>
      </c>
      <c r="AM96" s="32">
        <f>SUM(AM94:AM95)</f>
        <v>50068</v>
      </c>
      <c r="AN96" s="32">
        <f>SUM(AN94:AN95)</f>
        <v>50068</v>
      </c>
      <c r="AP96" s="141"/>
      <c r="AR96" s="32">
        <f>SUM(AR94:AR95)</f>
        <v>50068</v>
      </c>
      <c r="AS96" s="32">
        <f>SUM(AS94:AS95)</f>
        <v>49539.6</v>
      </c>
      <c r="AU96" s="32">
        <f>SUM(AU94:AU95)</f>
        <v>50068</v>
      </c>
      <c r="AV96" s="32">
        <f>SUM(AV94:AV95)</f>
        <v>2135</v>
      </c>
      <c r="AW96" s="32">
        <f>SUM(AW94:AW95)</f>
        <v>52203</v>
      </c>
      <c r="AX96" s="128">
        <f>IF(AU96=0," ",(AW96-AU96)/AU96)</f>
        <v>4.2642006870655905E-2</v>
      </c>
      <c r="AZ96" s="32">
        <f>SUM(AZ94:AZ95)</f>
        <v>51508</v>
      </c>
      <c r="BA96" s="32">
        <f>SUM(BA94:BA95)</f>
        <v>50691</v>
      </c>
      <c r="BC96" s="141"/>
      <c r="BE96" s="32">
        <f>SUM(BE94:BE95)</f>
        <v>50691</v>
      </c>
      <c r="BF96" s="32">
        <f>SUM(BF94:BF95)</f>
        <v>47733.8</v>
      </c>
      <c r="BH96" s="32">
        <f>SUM(BH94:BH95)</f>
        <v>50691</v>
      </c>
      <c r="BI96" s="32">
        <f>SUM(BI94:BI95)</f>
        <v>1027</v>
      </c>
      <c r="BJ96" s="32">
        <f>SUM(BJ94:BJ95)</f>
        <v>51718</v>
      </c>
      <c r="BK96" s="128">
        <f>IF(BH96=0," ",(BJ96-BH96)/BH96)</f>
        <v>2.0260006707305045E-2</v>
      </c>
      <c r="BM96" s="32">
        <f>SUM(BM94:BM95)</f>
        <v>51718</v>
      </c>
      <c r="BN96" s="32">
        <f>SUM(BN94:BN95)</f>
        <v>51718</v>
      </c>
      <c r="BP96" s="141"/>
      <c r="BR96" s="32">
        <f>SUM(BR94:BR95)</f>
        <v>51718</v>
      </c>
      <c r="BS96" s="32">
        <f>SUM(BS94:BS95)</f>
        <v>17577</v>
      </c>
      <c r="BU96" s="32">
        <f>SUM(BU94:BU95)</f>
        <v>51718</v>
      </c>
      <c r="BV96" s="32">
        <f>SUM(BV94:BV95)</f>
        <v>-587</v>
      </c>
      <c r="BW96" s="595">
        <f>SUM(BW94:BW95)</f>
        <v>51131</v>
      </c>
      <c r="BX96" s="596">
        <f>IF(BU96=0," ",(BW96-BU96)/BU96)</f>
        <v>-1.1350013534939479E-2</v>
      </c>
      <c r="BZ96" s="595">
        <f>SUM(BZ94:BZ95)</f>
        <v>51131</v>
      </c>
      <c r="CA96" s="595">
        <f>SUM(CA94:CA95)</f>
        <v>51131</v>
      </c>
      <c r="CC96" s="770"/>
      <c r="CE96" s="595">
        <f>SUM(CE94:CE95)</f>
        <v>51131</v>
      </c>
      <c r="CF96" s="595">
        <f>SUM(CF94:CF95)</f>
        <v>0</v>
      </c>
      <c r="CJ96" s="886"/>
      <c r="CK96" s="1"/>
      <c r="CO96" s="16"/>
    </row>
    <row r="97" spans="1:93" x14ac:dyDescent="0.3">
      <c r="AS97" s="16"/>
      <c r="CJ97" s="886"/>
      <c r="CK97" s="1"/>
      <c r="CO97" s="16"/>
    </row>
    <row r="98" spans="1:93" s="19" customFormat="1" x14ac:dyDescent="0.3">
      <c r="A98" s="27"/>
      <c r="B98" s="8"/>
      <c r="C98" s="42"/>
      <c r="D98" s="42"/>
      <c r="E98" s="54"/>
      <c r="F98" s="8"/>
      <c r="G98" s="8" t="s">
        <v>136</v>
      </c>
      <c r="H98" s="28">
        <f>H92+H96</f>
        <v>121777</v>
      </c>
      <c r="I98" s="28">
        <f>I92+I96</f>
        <v>5989</v>
      </c>
      <c r="J98" s="28">
        <f>J92+J96</f>
        <v>127766</v>
      </c>
      <c r="K98" s="123">
        <f>IF(H98=0," ",(J98-H98)/H98)</f>
        <v>4.9180058631761336E-2</v>
      </c>
      <c r="M98" s="28">
        <f>M92+M96</f>
        <v>127766</v>
      </c>
      <c r="N98" s="28">
        <f>N92+N96</f>
        <v>127766</v>
      </c>
      <c r="P98" s="139">
        <f>P92+P96</f>
        <v>0</v>
      </c>
      <c r="R98" s="28">
        <f>R92+R96</f>
        <v>127766</v>
      </c>
      <c r="S98" s="28">
        <f>S92+S96</f>
        <v>127354.38</v>
      </c>
      <c r="U98" s="28">
        <f>U92+U96</f>
        <v>127766</v>
      </c>
      <c r="V98" s="28">
        <f>V92+V96</f>
        <v>5884</v>
      </c>
      <c r="W98" s="28">
        <f>W92+W96</f>
        <v>133650</v>
      </c>
      <c r="X98" s="123">
        <f>IF(U98=0," ",(W98-U98)/U98)</f>
        <v>4.6052940531909899E-2</v>
      </c>
      <c r="Z98" s="28">
        <f>Z92+Z96</f>
        <v>133650</v>
      </c>
      <c r="AA98" s="28">
        <f>AA92+AA96</f>
        <v>133650</v>
      </c>
      <c r="AC98" s="139"/>
      <c r="AE98" s="28">
        <f>AE92+AE96</f>
        <v>133650</v>
      </c>
      <c r="AF98" s="201">
        <f>AF92+AF96</f>
        <v>132800.1</v>
      </c>
      <c r="AH98" s="28">
        <v>133650</v>
      </c>
      <c r="AI98" s="28">
        <f>AI92+AI96</f>
        <v>7253</v>
      </c>
      <c r="AJ98" s="28">
        <f>AJ92+AJ96</f>
        <v>140903</v>
      </c>
      <c r="AK98" s="123">
        <f>IF(AH98=0," ",(AJ98-AH98)/AH98)</f>
        <v>5.4268612046389823E-2</v>
      </c>
      <c r="AM98" s="28">
        <f>AM92+AM96</f>
        <v>140903</v>
      </c>
      <c r="AN98" s="28">
        <f>AN92+AN96</f>
        <v>140903</v>
      </c>
      <c r="AP98" s="139"/>
      <c r="AR98" s="28">
        <f>AR92+AR96</f>
        <v>140903</v>
      </c>
      <c r="AS98" s="28">
        <f>AS92+AS96</f>
        <v>140373.84</v>
      </c>
      <c r="AU98" s="28">
        <f>AU92+AU96</f>
        <v>140903</v>
      </c>
      <c r="AV98" s="28">
        <f>AV92+AV96</f>
        <v>5939</v>
      </c>
      <c r="AW98" s="28">
        <f>AW92+AW96</f>
        <v>146842</v>
      </c>
      <c r="AX98" s="123">
        <f>IF(AU98=0," ",(AW98-AU98)/AU98)</f>
        <v>4.2149563884374359E-2</v>
      </c>
      <c r="AZ98" s="28">
        <f>AZ92+AZ96</f>
        <v>145792</v>
      </c>
      <c r="BA98" s="28">
        <f>BA92+BA96</f>
        <v>143556</v>
      </c>
      <c r="BC98" s="139"/>
      <c r="BE98" s="28">
        <f>BE92+BE96</f>
        <v>143556</v>
      </c>
      <c r="BF98" s="28">
        <f>BF92+BF96</f>
        <v>140597.96000000002</v>
      </c>
      <c r="BG98" s="9"/>
      <c r="BH98" s="28">
        <f>BH92+BH96</f>
        <v>143556</v>
      </c>
      <c r="BI98" s="28">
        <f>BI92+BI96</f>
        <v>2801</v>
      </c>
      <c r="BJ98" s="28">
        <f>BJ92+BJ96</f>
        <v>146357</v>
      </c>
      <c r="BK98" s="123">
        <f>IF(BH98=0," ",(BJ98-BH98)/BH98)</f>
        <v>1.951154949984675E-2</v>
      </c>
      <c r="BM98" s="28">
        <f>BM92+BM96</f>
        <v>146357</v>
      </c>
      <c r="BN98" s="28">
        <f>BN92+BN96</f>
        <v>146357</v>
      </c>
      <c r="BP98" s="139"/>
      <c r="BR98" s="28">
        <f>BR92+BR96</f>
        <v>146357</v>
      </c>
      <c r="BS98" s="28">
        <f>BS92+BS96</f>
        <v>60234.12</v>
      </c>
      <c r="BT98" s="9"/>
      <c r="BU98" s="28">
        <f>BU92+BU96</f>
        <v>146357</v>
      </c>
      <c r="BV98" s="532">
        <f>BV92+BV96</f>
        <v>1209</v>
      </c>
      <c r="BW98" s="591">
        <f>BW92+BW96</f>
        <v>147566</v>
      </c>
      <c r="BX98" s="579">
        <f>IF(BU98=0," ",(BW98-BU98)/BU98)</f>
        <v>8.2606229971917983E-3</v>
      </c>
      <c r="BY98" s="580"/>
      <c r="BZ98" s="591">
        <f>BZ92+BZ96</f>
        <v>147566</v>
      </c>
      <c r="CA98" s="591">
        <f>CA92+CA96</f>
        <v>147566</v>
      </c>
      <c r="CB98" s="580"/>
      <c r="CC98" s="769"/>
      <c r="CD98" s="580"/>
      <c r="CE98" s="591">
        <f>CE92+CE96</f>
        <v>147566</v>
      </c>
      <c r="CF98" s="591">
        <f>CF92+CF96</f>
        <v>0</v>
      </c>
      <c r="CG98" s="9"/>
      <c r="CH98" s="815"/>
      <c r="CI98" s="815"/>
      <c r="CJ98" s="886"/>
      <c r="CK98" s="1"/>
      <c r="CO98" s="16"/>
    </row>
    <row r="99" spans="1:93" x14ac:dyDescent="0.3">
      <c r="AS99" s="16"/>
      <c r="CJ99" s="886"/>
      <c r="CK99" s="1"/>
      <c r="CO99" s="16"/>
    </row>
    <row r="100" spans="1:93" x14ac:dyDescent="0.3">
      <c r="A100" s="11">
        <v>141</v>
      </c>
      <c r="C100" s="37">
        <v>14105</v>
      </c>
      <c r="D100" s="37">
        <v>53050</v>
      </c>
      <c r="E100" s="49" t="s">
        <v>118</v>
      </c>
      <c r="G100" s="3" t="s">
        <v>864</v>
      </c>
      <c r="AI100" s="247"/>
      <c r="AJ100" s="16">
        <f>AH100+AI100</f>
        <v>0</v>
      </c>
      <c r="AM100" s="117">
        <v>10000</v>
      </c>
      <c r="AN100" s="117">
        <v>10000</v>
      </c>
      <c r="AP100" s="266" t="s">
        <v>865</v>
      </c>
      <c r="AR100" s="26">
        <v>10000</v>
      </c>
      <c r="AS100" s="26">
        <v>10250</v>
      </c>
      <c r="AU100" s="26">
        <f>AR100</f>
        <v>10000</v>
      </c>
      <c r="AV100" s="247"/>
      <c r="AW100" s="16">
        <f>AU100+AV100</f>
        <v>10000</v>
      </c>
      <c r="AZ100" s="117">
        <v>10000</v>
      </c>
      <c r="BA100" s="117">
        <v>10000</v>
      </c>
      <c r="BC100" s="266"/>
      <c r="BE100" s="26">
        <v>10000</v>
      </c>
      <c r="BF100" s="26">
        <v>10000</v>
      </c>
      <c r="BH100" s="26">
        <v>10000</v>
      </c>
      <c r="BI100" s="247"/>
      <c r="BJ100" s="16">
        <f t="shared" ref="BJ100:BJ112" si="51">BH100+BI100</f>
        <v>10000</v>
      </c>
      <c r="BK100" s="122">
        <f>IF(BH100=0," ",(BJ100-BH100)/BH100)</f>
        <v>0</v>
      </c>
      <c r="BM100" s="117">
        <v>10000</v>
      </c>
      <c r="BN100" s="117">
        <v>10000</v>
      </c>
      <c r="BP100" s="259"/>
      <c r="BR100" s="117">
        <v>10000</v>
      </c>
      <c r="BU100" s="26">
        <v>10000</v>
      </c>
      <c r="BV100" s="247"/>
      <c r="BW100" s="576">
        <f t="shared" ref="BW100:BW112" si="52">BU100+BV100</f>
        <v>10000</v>
      </c>
      <c r="BX100" s="577">
        <f>IF(BU100=0," ",(BW100-BU100)/BU100)</f>
        <v>0</v>
      </c>
      <c r="BZ100" s="166">
        <v>10000</v>
      </c>
      <c r="CA100" s="166">
        <v>10000</v>
      </c>
      <c r="CC100" s="753"/>
      <c r="CE100" s="166">
        <v>10000</v>
      </c>
      <c r="CF100" s="166"/>
      <c r="CJ100" s="886"/>
      <c r="CK100" s="1"/>
      <c r="CO100" s="16"/>
    </row>
    <row r="101" spans="1:93" x14ac:dyDescent="0.3">
      <c r="A101" s="11">
        <v>141</v>
      </c>
      <c r="B101" s="3" t="s">
        <v>2</v>
      </c>
      <c r="C101" s="37">
        <v>14105</v>
      </c>
      <c r="D101" s="37">
        <v>53052</v>
      </c>
      <c r="E101" s="49" t="s">
        <v>118</v>
      </c>
      <c r="F101" s="3" t="s">
        <v>2</v>
      </c>
      <c r="G101" s="3" t="s">
        <v>1166</v>
      </c>
      <c r="H101" s="26">
        <v>15800</v>
      </c>
      <c r="I101" s="247"/>
      <c r="J101" s="16">
        <f>H101+I101</f>
        <v>15800</v>
      </c>
      <c r="K101" s="122">
        <f>IF(H101=0," ",(J101-H101)/H101)</f>
        <v>0</v>
      </c>
      <c r="M101" s="117">
        <v>15800</v>
      </c>
      <c r="N101" s="117">
        <v>15800</v>
      </c>
      <c r="P101" s="259" t="s">
        <v>525</v>
      </c>
      <c r="R101" s="26">
        <v>15800</v>
      </c>
      <c r="S101" s="26">
        <v>17966.66</v>
      </c>
      <c r="U101" s="26">
        <v>15800</v>
      </c>
      <c r="V101" s="247">
        <v>0</v>
      </c>
      <c r="W101" s="16">
        <f>U101+V101</f>
        <v>15800</v>
      </c>
      <c r="X101" s="122">
        <f>IF(U101=0," ",(W101-U101)/U101)</f>
        <v>0</v>
      </c>
      <c r="Z101" s="117">
        <v>15800</v>
      </c>
      <c r="AA101" s="117">
        <v>15800</v>
      </c>
      <c r="AC101" s="259"/>
      <c r="AE101" s="26">
        <v>15800</v>
      </c>
      <c r="AF101" s="200">
        <v>15185.84</v>
      </c>
      <c r="AH101" s="26">
        <v>15800</v>
      </c>
      <c r="AI101" s="247">
        <v>3400</v>
      </c>
      <c r="AJ101" s="16">
        <f>AH101+AI101</f>
        <v>19200</v>
      </c>
      <c r="AK101" s="122">
        <f>IF(AH101=0," ",(AJ101-AH101)/AH101)</f>
        <v>0.21518987341772153</v>
      </c>
      <c r="AM101" s="117">
        <v>19200</v>
      </c>
      <c r="AN101" s="117">
        <v>19200</v>
      </c>
      <c r="AP101" s="259"/>
      <c r="AR101" s="26">
        <v>19200</v>
      </c>
      <c r="AS101" s="26">
        <v>11250</v>
      </c>
      <c r="AU101" s="26">
        <f>AR101</f>
        <v>19200</v>
      </c>
      <c r="AV101" s="247"/>
      <c r="AW101" s="16">
        <f>AU101+AV101</f>
        <v>19200</v>
      </c>
      <c r="AX101" s="122">
        <f>IF(AU101=0," ",(AW101-AU101)/AU101)</f>
        <v>0</v>
      </c>
      <c r="AZ101" s="117">
        <v>19200</v>
      </c>
      <c r="BA101" s="117">
        <v>19200</v>
      </c>
      <c r="BC101" s="259"/>
      <c r="BE101" s="26">
        <v>19200</v>
      </c>
      <c r="BF101" s="26">
        <v>14550</v>
      </c>
      <c r="BH101" s="26">
        <v>19200</v>
      </c>
      <c r="BI101" s="247"/>
      <c r="BJ101" s="16">
        <f t="shared" si="51"/>
        <v>19200</v>
      </c>
      <c r="BK101" s="122">
        <f>IF(BH101=0," ",(BJ101-BH101)/BH101)</f>
        <v>0</v>
      </c>
      <c r="BM101" s="117">
        <v>19200</v>
      </c>
      <c r="BN101" s="117">
        <f>19200+4000</f>
        <v>23200</v>
      </c>
      <c r="BP101" s="430" t="s">
        <v>1191</v>
      </c>
      <c r="BR101" s="117">
        <f>19200+4000</f>
        <v>23200</v>
      </c>
      <c r="BS101" s="26">
        <v>6750</v>
      </c>
      <c r="BU101" s="26">
        <f>19200+4000</f>
        <v>23200</v>
      </c>
      <c r="BV101" s="247"/>
      <c r="BW101" s="576">
        <f t="shared" si="52"/>
        <v>23200</v>
      </c>
      <c r="BX101" s="577">
        <f>IF(BU101=0," ",(BW101-BU101)/BU101)</f>
        <v>0</v>
      </c>
      <c r="BZ101" s="166">
        <v>23200</v>
      </c>
      <c r="CA101" s="166">
        <v>23200</v>
      </c>
      <c r="CC101" s="753"/>
      <c r="CE101" s="166">
        <v>23200</v>
      </c>
      <c r="CF101" s="166"/>
      <c r="CJ101" s="886"/>
      <c r="CK101" s="1"/>
      <c r="CO101" s="16"/>
    </row>
    <row r="102" spans="1:93" x14ac:dyDescent="0.3">
      <c r="A102" s="11">
        <v>141</v>
      </c>
      <c r="C102" s="37">
        <v>14105</v>
      </c>
      <c r="D102" s="37">
        <v>53054</v>
      </c>
      <c r="E102" s="49" t="s">
        <v>118</v>
      </c>
      <c r="G102" s="3" t="s">
        <v>1128</v>
      </c>
      <c r="I102" s="244"/>
      <c r="M102" s="117"/>
      <c r="N102" s="117"/>
      <c r="P102" s="117"/>
      <c r="V102" s="244"/>
      <c r="Z102" s="117"/>
      <c r="AA102" s="117"/>
      <c r="AC102" s="117"/>
      <c r="AI102" s="244"/>
      <c r="AM102" s="117"/>
      <c r="AN102" s="117"/>
      <c r="AP102" s="117"/>
      <c r="AS102" s="16"/>
      <c r="AV102" s="244"/>
      <c r="BI102" s="247">
        <v>7600</v>
      </c>
      <c r="BJ102" s="16">
        <f t="shared" si="51"/>
        <v>7600</v>
      </c>
      <c r="BM102" s="117">
        <v>7600</v>
      </c>
      <c r="BN102" s="117">
        <v>7600</v>
      </c>
      <c r="BP102" s="259" t="s">
        <v>1122</v>
      </c>
      <c r="BR102" s="117">
        <v>7600</v>
      </c>
      <c r="BS102" s="16">
        <v>17350</v>
      </c>
      <c r="BU102" s="26">
        <v>7600</v>
      </c>
      <c r="BV102" s="247"/>
      <c r="BW102" s="576">
        <f t="shared" si="52"/>
        <v>7600</v>
      </c>
      <c r="BZ102" s="166">
        <v>7600</v>
      </c>
      <c r="CA102" s="166">
        <v>7600</v>
      </c>
      <c r="CC102" s="753"/>
      <c r="CE102" s="166">
        <v>7600</v>
      </c>
      <c r="CF102" s="166"/>
      <c r="CJ102" s="886"/>
      <c r="CK102" s="1"/>
      <c r="CO102" s="16"/>
    </row>
    <row r="103" spans="1:93" x14ac:dyDescent="0.3">
      <c r="A103" s="11">
        <v>141</v>
      </c>
      <c r="C103" s="37">
        <v>14105</v>
      </c>
      <c r="D103" s="37">
        <v>53060</v>
      </c>
      <c r="E103" s="49" t="s">
        <v>118</v>
      </c>
      <c r="G103" s="3" t="s">
        <v>1229</v>
      </c>
      <c r="I103" s="244"/>
      <c r="M103" s="117"/>
      <c r="N103" s="117"/>
      <c r="P103" s="117"/>
      <c r="V103" s="244"/>
      <c r="Z103" s="117"/>
      <c r="AA103" s="117"/>
      <c r="AC103" s="117"/>
      <c r="AI103" s="244"/>
      <c r="AM103" s="117"/>
      <c r="AN103" s="117"/>
      <c r="AP103" s="117"/>
      <c r="AS103" s="16"/>
      <c r="AV103" s="244"/>
      <c r="BF103" s="16">
        <v>105</v>
      </c>
      <c r="BI103" s="247"/>
      <c r="BM103" s="117"/>
      <c r="BN103" s="117"/>
      <c r="BP103" s="259"/>
      <c r="BR103" s="117"/>
      <c r="BU103" s="26"/>
      <c r="BV103" s="247"/>
      <c r="BW103" s="576">
        <f t="shared" si="52"/>
        <v>0</v>
      </c>
      <c r="BZ103" s="166">
        <v>0</v>
      </c>
      <c r="CA103" s="166">
        <v>0</v>
      </c>
      <c r="CC103" s="753"/>
      <c r="CE103" s="166">
        <v>0</v>
      </c>
      <c r="CF103" s="166"/>
      <c r="CJ103" s="886"/>
      <c r="CK103" s="1"/>
      <c r="CO103" s="16"/>
    </row>
    <row r="104" spans="1:93" x14ac:dyDescent="0.3">
      <c r="A104" s="11">
        <v>141</v>
      </c>
      <c r="B104" s="3" t="s">
        <v>2</v>
      </c>
      <c r="C104" s="37">
        <v>14105</v>
      </c>
      <c r="D104" s="37">
        <v>53070</v>
      </c>
      <c r="E104" s="49" t="s">
        <v>118</v>
      </c>
      <c r="F104" s="3" t="s">
        <v>2</v>
      </c>
      <c r="G104" s="3" t="s">
        <v>35</v>
      </c>
      <c r="H104" s="26">
        <v>6900</v>
      </c>
      <c r="I104" s="244"/>
      <c r="J104" s="16">
        <f>H104+I104</f>
        <v>6900</v>
      </c>
      <c r="K104" s="122">
        <f>IF(H104=0," ",(J104-H104)/H104)</f>
        <v>0</v>
      </c>
      <c r="M104" s="117">
        <v>6900</v>
      </c>
      <c r="N104" s="117">
        <v>6900</v>
      </c>
      <c r="P104" s="259"/>
      <c r="R104" s="26">
        <v>6900</v>
      </c>
      <c r="S104" s="26">
        <v>6400</v>
      </c>
      <c r="U104" s="26">
        <v>6900</v>
      </c>
      <c r="V104" s="244">
        <v>0</v>
      </c>
      <c r="W104" s="16">
        <f>U104+V104</f>
        <v>6900</v>
      </c>
      <c r="X104" s="122">
        <f>IF(U104=0," ",(W104-U104)/U104)</f>
        <v>0</v>
      </c>
      <c r="Z104" s="117">
        <v>6900</v>
      </c>
      <c r="AA104" s="117">
        <v>6900</v>
      </c>
      <c r="AC104" s="259"/>
      <c r="AE104" s="26">
        <v>6900</v>
      </c>
      <c r="AF104" s="200">
        <v>3500</v>
      </c>
      <c r="AH104" s="26">
        <v>6900</v>
      </c>
      <c r="AI104" s="244">
        <v>-3400</v>
      </c>
      <c r="AJ104" s="16">
        <f>AH104+AI104</f>
        <v>3500</v>
      </c>
      <c r="AK104" s="122">
        <f>IF(AH104=0," ",(AJ104-AH104)/AH104)</f>
        <v>-0.49275362318840582</v>
      </c>
      <c r="AM104" s="117">
        <v>3500</v>
      </c>
      <c r="AN104" s="117">
        <v>3500</v>
      </c>
      <c r="AP104" s="259"/>
      <c r="AR104" s="26">
        <v>3500</v>
      </c>
      <c r="AS104" s="26">
        <v>4300</v>
      </c>
      <c r="AU104" s="26">
        <f>AR104</f>
        <v>3500</v>
      </c>
      <c r="AV104" s="244"/>
      <c r="AW104" s="16">
        <f>AU104+AV104</f>
        <v>3500</v>
      </c>
      <c r="AX104" s="122">
        <f>IF(AU104=0," ",(AW104-AU104)/AU104)</f>
        <v>0</v>
      </c>
      <c r="AZ104" s="117">
        <v>3500</v>
      </c>
      <c r="BA104" s="117">
        <f>3500+150</f>
        <v>3650</v>
      </c>
      <c r="BC104" s="266" t="s">
        <v>982</v>
      </c>
      <c r="BE104" s="26">
        <f>3500+150</f>
        <v>3650</v>
      </c>
      <c r="BF104" s="26">
        <v>3650</v>
      </c>
      <c r="BH104" s="26">
        <f>3500+150</f>
        <v>3650</v>
      </c>
      <c r="BI104" s="244"/>
      <c r="BJ104" s="16">
        <f t="shared" si="51"/>
        <v>3650</v>
      </c>
      <c r="BK104" s="122">
        <f>IF(BH104=0," ",(BJ104-BH104)/BH104)</f>
        <v>0</v>
      </c>
      <c r="BM104" s="117">
        <v>3650</v>
      </c>
      <c r="BN104" s="117">
        <v>3650</v>
      </c>
      <c r="BP104" s="259"/>
      <c r="BR104" s="117">
        <v>3650</v>
      </c>
      <c r="BS104" s="26">
        <v>1825</v>
      </c>
      <c r="BU104" s="26">
        <v>3650</v>
      </c>
      <c r="BV104" s="247"/>
      <c r="BW104" s="576">
        <f t="shared" si="52"/>
        <v>3650</v>
      </c>
      <c r="BX104" s="577">
        <f>IF(BU104=0," ",(BW104-BU104)/BU104)</f>
        <v>0</v>
      </c>
      <c r="BZ104" s="166">
        <v>3650</v>
      </c>
      <c r="CA104" s="166">
        <v>3650</v>
      </c>
      <c r="CC104" s="753"/>
      <c r="CE104" s="166">
        <v>3650</v>
      </c>
      <c r="CF104" s="166"/>
      <c r="CJ104" s="886"/>
      <c r="CK104" s="1"/>
      <c r="CO104" s="16"/>
    </row>
    <row r="105" spans="1:93" x14ac:dyDescent="0.3">
      <c r="A105" s="11">
        <v>141</v>
      </c>
      <c r="B105" s="3" t="s">
        <v>2</v>
      </c>
      <c r="C105" s="37">
        <v>14105</v>
      </c>
      <c r="D105" s="37">
        <v>53200</v>
      </c>
      <c r="E105" s="49" t="s">
        <v>118</v>
      </c>
      <c r="F105" s="3" t="s">
        <v>2</v>
      </c>
      <c r="G105" s="3" t="s">
        <v>108</v>
      </c>
      <c r="H105" s="26">
        <v>1600</v>
      </c>
      <c r="I105" s="244">
        <v>1600</v>
      </c>
      <c r="J105" s="16">
        <f>H105+I105</f>
        <v>3200</v>
      </c>
      <c r="K105" s="122">
        <f>IF(H105=0," ",(J105-H105)/H105)</f>
        <v>1</v>
      </c>
      <c r="M105" s="117">
        <v>3200</v>
      </c>
      <c r="N105" s="117">
        <v>3200</v>
      </c>
      <c r="P105" s="259" t="s">
        <v>521</v>
      </c>
      <c r="R105" s="26">
        <v>3200</v>
      </c>
      <c r="S105" s="26">
        <v>1262.4000000000001</v>
      </c>
      <c r="U105" s="26">
        <v>3200</v>
      </c>
      <c r="V105" s="244">
        <v>0</v>
      </c>
      <c r="W105" s="16">
        <f>U105+V105</f>
        <v>3200</v>
      </c>
      <c r="X105" s="122">
        <f>IF(U105=0," ",(W105-U105)/U105)</f>
        <v>0</v>
      </c>
      <c r="Z105" s="117">
        <v>3200</v>
      </c>
      <c r="AA105" s="117">
        <v>3200</v>
      </c>
      <c r="AC105" s="259"/>
      <c r="AE105" s="26">
        <v>3200</v>
      </c>
      <c r="AF105" s="200">
        <v>2035</v>
      </c>
      <c r="AH105" s="26">
        <v>3200</v>
      </c>
      <c r="AI105" s="244"/>
      <c r="AJ105" s="16">
        <f>AH105+AI105</f>
        <v>3200</v>
      </c>
      <c r="AK105" s="122">
        <f>IF(AH105=0," ",(AJ105-AH105)/AH105)</f>
        <v>0</v>
      </c>
      <c r="AM105" s="117">
        <v>3200</v>
      </c>
      <c r="AN105" s="117">
        <v>3200</v>
      </c>
      <c r="AP105" s="259"/>
      <c r="AR105" s="26">
        <v>3200</v>
      </c>
      <c r="AS105" s="26">
        <v>724</v>
      </c>
      <c r="AU105" s="26">
        <f>AR105</f>
        <v>3200</v>
      </c>
      <c r="AV105" s="244"/>
      <c r="AW105" s="16">
        <f>AU105+AV105</f>
        <v>3200</v>
      </c>
      <c r="AX105" s="122">
        <f>IF(AU105=0," ",(AW105-AU105)/AU105)</f>
        <v>0</v>
      </c>
      <c r="AZ105" s="117">
        <v>3200</v>
      </c>
      <c r="BA105" s="117">
        <v>3200</v>
      </c>
      <c r="BC105" s="259"/>
      <c r="BE105" s="26">
        <v>3200</v>
      </c>
      <c r="BF105" s="26">
        <v>1280</v>
      </c>
      <c r="BH105" s="26">
        <v>3200</v>
      </c>
      <c r="BI105" s="244"/>
      <c r="BJ105" s="16">
        <f t="shared" si="51"/>
        <v>3200</v>
      </c>
      <c r="BK105" s="122">
        <f>IF(BH105=0," ",(BJ105-BH105)/BH105)</f>
        <v>0</v>
      </c>
      <c r="BM105" s="117">
        <v>3200</v>
      </c>
      <c r="BN105" s="117">
        <v>3200</v>
      </c>
      <c r="BP105" s="259"/>
      <c r="BR105" s="117">
        <v>3200</v>
      </c>
      <c r="BS105" s="26">
        <v>425</v>
      </c>
      <c r="BU105" s="26">
        <v>3200</v>
      </c>
      <c r="BV105" s="247"/>
      <c r="BW105" s="576">
        <f t="shared" si="52"/>
        <v>3200</v>
      </c>
      <c r="BX105" s="577">
        <f>IF(BU105=0," ",(BW105-BU105)/BU105)</f>
        <v>0</v>
      </c>
      <c r="BZ105" s="166">
        <v>3200</v>
      </c>
      <c r="CA105" s="166">
        <v>3200</v>
      </c>
      <c r="CC105" s="753"/>
      <c r="CE105" s="166">
        <v>3200</v>
      </c>
      <c r="CF105" s="166"/>
      <c r="CJ105" s="886"/>
      <c r="CK105" s="1"/>
      <c r="CO105" s="16"/>
    </row>
    <row r="106" spans="1:93" x14ac:dyDescent="0.3">
      <c r="A106" s="11">
        <v>141</v>
      </c>
      <c r="B106" s="3" t="s">
        <v>2</v>
      </c>
      <c r="C106" s="37">
        <v>14105</v>
      </c>
      <c r="D106" s="37">
        <v>53400</v>
      </c>
      <c r="E106" s="49" t="s">
        <v>118</v>
      </c>
      <c r="F106" s="3" t="s">
        <v>2</v>
      </c>
      <c r="G106" s="3" t="s">
        <v>1110</v>
      </c>
      <c r="H106" s="26"/>
      <c r="I106" s="244"/>
      <c r="M106" s="117"/>
      <c r="N106" s="117"/>
      <c r="P106" s="259"/>
      <c r="R106" s="26"/>
      <c r="S106" s="26"/>
      <c r="U106" s="26"/>
      <c r="V106" s="244"/>
      <c r="Z106" s="117"/>
      <c r="AA106" s="117"/>
      <c r="AC106" s="259"/>
      <c r="AE106" s="26"/>
      <c r="AF106" s="200"/>
      <c r="AH106" s="26"/>
      <c r="AI106" s="244"/>
      <c r="AM106" s="117"/>
      <c r="AN106" s="117"/>
      <c r="AP106" s="259"/>
      <c r="AR106" s="26"/>
      <c r="AS106" s="26"/>
      <c r="AU106" s="26"/>
      <c r="AV106" s="244"/>
      <c r="AW106" s="16">
        <f>AU106+AV106</f>
        <v>0</v>
      </c>
      <c r="AX106" s="122" t="str">
        <f>IF(AU106=0," ",(AW106-AU106)/AU106)</f>
        <v xml:space="preserve"> </v>
      </c>
      <c r="AZ106" s="117"/>
      <c r="BA106" s="117"/>
      <c r="BC106" s="259"/>
      <c r="BE106" s="26"/>
      <c r="BF106" s="26">
        <v>448.53</v>
      </c>
      <c r="BH106" s="26"/>
      <c r="BI106" s="403">
        <v>650</v>
      </c>
      <c r="BJ106" s="16">
        <f t="shared" si="51"/>
        <v>650</v>
      </c>
      <c r="BK106" s="122" t="str">
        <f>IF(BH106=0," ",(BJ106-BH106)/BH106)</f>
        <v xml:space="preserve"> </v>
      </c>
      <c r="BM106" s="117">
        <v>650</v>
      </c>
      <c r="BN106" s="117">
        <v>650</v>
      </c>
      <c r="BP106" s="399" t="s">
        <v>1120</v>
      </c>
      <c r="BR106" s="117">
        <v>650</v>
      </c>
      <c r="BS106" s="26">
        <v>189.95</v>
      </c>
      <c r="BU106" s="26">
        <v>650</v>
      </c>
      <c r="BV106" s="247"/>
      <c r="BW106" s="576">
        <f t="shared" si="52"/>
        <v>650</v>
      </c>
      <c r="BX106" s="577">
        <f>IF(BU106=0," ",(BW106-BU106)/BU106)</f>
        <v>0</v>
      </c>
      <c r="BZ106" s="166">
        <v>650</v>
      </c>
      <c r="CA106" s="166">
        <v>650</v>
      </c>
      <c r="CC106" s="754"/>
      <c r="CE106" s="166">
        <v>650</v>
      </c>
      <c r="CF106" s="166"/>
      <c r="CJ106" s="886"/>
      <c r="CK106" s="1"/>
      <c r="CO106" s="16"/>
    </row>
    <row r="107" spans="1:93" x14ac:dyDescent="0.3">
      <c r="A107" s="11">
        <v>141</v>
      </c>
      <c r="B107" s="3" t="s">
        <v>2</v>
      </c>
      <c r="C107" s="37">
        <v>14105</v>
      </c>
      <c r="D107" s="37">
        <v>53430</v>
      </c>
      <c r="E107" s="49" t="s">
        <v>118</v>
      </c>
      <c r="F107" s="3" t="s">
        <v>2</v>
      </c>
      <c r="G107" s="3" t="s">
        <v>36</v>
      </c>
      <c r="H107" s="26">
        <v>1600</v>
      </c>
      <c r="I107" s="244"/>
      <c r="J107" s="16">
        <f>H107+I107</f>
        <v>1600</v>
      </c>
      <c r="K107" s="122">
        <f>IF(H107=0," ",(J107-H107)/H107)</f>
        <v>0</v>
      </c>
      <c r="M107" s="117">
        <v>1600</v>
      </c>
      <c r="N107" s="117">
        <v>1600</v>
      </c>
      <c r="P107" s="259"/>
      <c r="R107" s="26">
        <v>1600</v>
      </c>
      <c r="S107" s="26">
        <v>1500</v>
      </c>
      <c r="U107" s="26">
        <v>1600</v>
      </c>
      <c r="V107" s="244">
        <v>0</v>
      </c>
      <c r="W107" s="16">
        <f>U107+V107</f>
        <v>1600</v>
      </c>
      <c r="X107" s="122">
        <f>IF(U107=0," ",(W107-U107)/U107)</f>
        <v>0</v>
      </c>
      <c r="Z107" s="117">
        <v>1600</v>
      </c>
      <c r="AA107" s="117">
        <v>1600</v>
      </c>
      <c r="AC107" s="259"/>
      <c r="AE107" s="26">
        <v>1600</v>
      </c>
      <c r="AF107" s="200">
        <v>875.75</v>
      </c>
      <c r="AH107" s="26">
        <v>1600</v>
      </c>
      <c r="AI107" s="244"/>
      <c r="AJ107" s="16">
        <f>AH107+AI107</f>
        <v>1600</v>
      </c>
      <c r="AK107" s="122">
        <f>IF(AH107=0," ",(AJ107-AH107)/AH107)</f>
        <v>0</v>
      </c>
      <c r="AM107" s="117">
        <v>1600</v>
      </c>
      <c r="AN107" s="117">
        <v>1600</v>
      </c>
      <c r="AP107" s="259"/>
      <c r="AR107" s="26">
        <v>1600</v>
      </c>
      <c r="AS107" s="26">
        <v>898.18</v>
      </c>
      <c r="AU107" s="26">
        <f t="shared" ref="AU107:AU112" si="53">AR107</f>
        <v>1600</v>
      </c>
      <c r="AV107" s="244"/>
      <c r="AW107" s="16">
        <f>AU107+AV107</f>
        <v>1600</v>
      </c>
      <c r="AX107" s="122">
        <f>IF(AU107=0," ",(AW107-AU107)/AU107)</f>
        <v>0</v>
      </c>
      <c r="AZ107" s="117">
        <v>1600</v>
      </c>
      <c r="BA107" s="117">
        <v>1600</v>
      </c>
      <c r="BC107" s="259"/>
      <c r="BE107" s="26">
        <v>1600</v>
      </c>
      <c r="BF107" s="26">
        <v>948.21</v>
      </c>
      <c r="BH107" s="26">
        <v>1600</v>
      </c>
      <c r="BI107" s="244"/>
      <c r="BJ107" s="16">
        <f t="shared" si="51"/>
        <v>1600</v>
      </c>
      <c r="BK107" s="122">
        <f>IF(BH107=0," ",(BJ107-BH107)/BH107)</f>
        <v>0</v>
      </c>
      <c r="BM107" s="117">
        <v>1600</v>
      </c>
      <c r="BN107" s="117">
        <v>1600</v>
      </c>
      <c r="BP107" s="259"/>
      <c r="BR107" s="117">
        <v>1600</v>
      </c>
      <c r="BS107" s="26">
        <v>352.46</v>
      </c>
      <c r="BU107" s="26">
        <v>1600</v>
      </c>
      <c r="BV107" s="247"/>
      <c r="BW107" s="576">
        <f t="shared" si="52"/>
        <v>1600</v>
      </c>
      <c r="BX107" s="577">
        <f>IF(BU107=0," ",(BW107-BU107)/BU107)</f>
        <v>0</v>
      </c>
      <c r="BZ107" s="166">
        <v>1600</v>
      </c>
      <c r="CA107" s="166">
        <v>1600</v>
      </c>
      <c r="CC107" s="753"/>
      <c r="CE107" s="166">
        <v>1600</v>
      </c>
      <c r="CF107" s="166"/>
      <c r="CJ107" s="886"/>
      <c r="CK107" s="1"/>
      <c r="CO107" s="16"/>
    </row>
    <row r="108" spans="1:93" x14ac:dyDescent="0.3">
      <c r="A108" s="11">
        <v>141</v>
      </c>
      <c r="B108" s="3" t="s">
        <v>2</v>
      </c>
      <c r="C108" s="37">
        <v>14105</v>
      </c>
      <c r="D108" s="37">
        <v>53450</v>
      </c>
      <c r="E108" s="49" t="s">
        <v>118</v>
      </c>
      <c r="F108" s="3" t="s">
        <v>2</v>
      </c>
      <c r="G108" s="3" t="s">
        <v>37</v>
      </c>
      <c r="H108" s="26">
        <v>650</v>
      </c>
      <c r="I108" s="244"/>
      <c r="J108" s="16">
        <f t="shared" ref="J108:J112" si="54">H108+I108</f>
        <v>650</v>
      </c>
      <c r="K108" s="122">
        <f t="shared" ref="K108:K113" si="55">IF(H108=0," ",(J108-H108)/H108)</f>
        <v>0</v>
      </c>
      <c r="M108" s="117">
        <v>650</v>
      </c>
      <c r="N108" s="117">
        <v>650</v>
      </c>
      <c r="P108" s="259"/>
      <c r="R108" s="26">
        <v>650</v>
      </c>
      <c r="S108" s="26">
        <v>0</v>
      </c>
      <c r="U108" s="26">
        <v>650</v>
      </c>
      <c r="V108" s="244">
        <v>0</v>
      </c>
      <c r="W108" s="16">
        <f t="shared" ref="W108:W112" si="56">U108+V108</f>
        <v>650</v>
      </c>
      <c r="X108" s="122">
        <f t="shared" ref="X108:X113" si="57">IF(U108=0," ",(W108-U108)/U108)</f>
        <v>0</v>
      </c>
      <c r="Z108" s="117">
        <v>650</v>
      </c>
      <c r="AA108" s="117">
        <v>650</v>
      </c>
      <c r="AC108" s="259"/>
      <c r="AE108" s="26">
        <v>650</v>
      </c>
      <c r="AF108" s="200">
        <v>0</v>
      </c>
      <c r="AH108" s="26">
        <v>650</v>
      </c>
      <c r="AI108" s="244"/>
      <c r="AJ108" s="16">
        <f t="shared" ref="AJ108:AJ112" si="58">AH108+AI108</f>
        <v>650</v>
      </c>
      <c r="AK108" s="122">
        <f t="shared" ref="AK108:AK112" si="59">IF(AH108=0," ",(AJ108-AH108)/AH108)</f>
        <v>0</v>
      </c>
      <c r="AM108" s="117">
        <v>650</v>
      </c>
      <c r="AN108" s="117">
        <v>650</v>
      </c>
      <c r="AP108" s="259"/>
      <c r="AR108" s="26">
        <v>650</v>
      </c>
      <c r="AS108" s="26"/>
      <c r="AU108" s="26">
        <f t="shared" si="53"/>
        <v>650</v>
      </c>
      <c r="AV108" s="244"/>
      <c r="AW108" s="16">
        <f t="shared" ref="AW108:AW112" si="60">AU108+AV108</f>
        <v>650</v>
      </c>
      <c r="AX108" s="122">
        <f t="shared" ref="AX108:AX112" si="61">IF(AU108=0," ",(AW108-AU108)/AU108)</f>
        <v>0</v>
      </c>
      <c r="AZ108" s="117">
        <v>650</v>
      </c>
      <c r="BA108" s="117">
        <v>650</v>
      </c>
      <c r="BC108" s="259"/>
      <c r="BE108" s="26">
        <v>650</v>
      </c>
      <c r="BF108" s="26">
        <v>0</v>
      </c>
      <c r="BH108" s="26">
        <v>650</v>
      </c>
      <c r="BI108" s="403">
        <v>-650</v>
      </c>
      <c r="BJ108" s="16">
        <f t="shared" si="51"/>
        <v>0</v>
      </c>
      <c r="BK108" s="122">
        <f t="shared" ref="BK108:BK112" si="62">IF(BH108=0," ",(BJ108-BH108)/BH108)</f>
        <v>-1</v>
      </c>
      <c r="BM108" s="117">
        <v>0</v>
      </c>
      <c r="BN108" s="117">
        <v>0</v>
      </c>
      <c r="BP108" s="399" t="s">
        <v>1120</v>
      </c>
      <c r="BR108" s="117">
        <v>0</v>
      </c>
      <c r="BS108" s="26"/>
      <c r="BU108" s="26">
        <v>0</v>
      </c>
      <c r="BV108" s="247"/>
      <c r="BW108" s="576">
        <f t="shared" si="52"/>
        <v>0</v>
      </c>
      <c r="BX108" s="577" t="str">
        <f t="shared" ref="BX108:BX112" si="63">IF(BU108=0," ",(BW108-BU108)/BU108)</f>
        <v xml:space="preserve"> </v>
      </c>
      <c r="BZ108" s="166">
        <v>0</v>
      </c>
      <c r="CA108" s="166">
        <v>0</v>
      </c>
      <c r="CC108" s="754"/>
      <c r="CE108" s="166">
        <v>0</v>
      </c>
      <c r="CF108" s="166"/>
      <c r="CJ108" s="886"/>
      <c r="CK108" s="1"/>
      <c r="CO108" s="16"/>
    </row>
    <row r="109" spans="1:93" x14ac:dyDescent="0.3">
      <c r="A109" s="11">
        <v>141</v>
      </c>
      <c r="B109" s="3" t="s">
        <v>2</v>
      </c>
      <c r="C109" s="37">
        <v>14105</v>
      </c>
      <c r="D109" s="37">
        <v>54200</v>
      </c>
      <c r="E109" s="49" t="s">
        <v>118</v>
      </c>
      <c r="F109" s="3" t="s">
        <v>2</v>
      </c>
      <c r="G109" s="3" t="s">
        <v>38</v>
      </c>
      <c r="H109" s="26">
        <v>1000</v>
      </c>
      <c r="I109" s="244"/>
      <c r="J109" s="16">
        <f t="shared" si="54"/>
        <v>1000</v>
      </c>
      <c r="K109" s="122">
        <f t="shared" si="55"/>
        <v>0</v>
      </c>
      <c r="M109" s="117">
        <v>1000</v>
      </c>
      <c r="N109" s="117">
        <v>1000</v>
      </c>
      <c r="P109" s="259"/>
      <c r="R109" s="26">
        <v>1000</v>
      </c>
      <c r="S109" s="26">
        <v>856</v>
      </c>
      <c r="U109" s="26">
        <v>1000</v>
      </c>
      <c r="V109" s="244">
        <v>0</v>
      </c>
      <c r="W109" s="16">
        <f t="shared" si="56"/>
        <v>1000</v>
      </c>
      <c r="X109" s="122">
        <f t="shared" si="57"/>
        <v>0</v>
      </c>
      <c r="Z109" s="117">
        <v>1000</v>
      </c>
      <c r="AA109" s="117">
        <v>1000</v>
      </c>
      <c r="AC109" s="259"/>
      <c r="AE109" s="26">
        <v>1000</v>
      </c>
      <c r="AF109" s="200">
        <v>1962.43</v>
      </c>
      <c r="AH109" s="26">
        <v>1000</v>
      </c>
      <c r="AI109" s="244"/>
      <c r="AJ109" s="16">
        <f t="shared" si="58"/>
        <v>1000</v>
      </c>
      <c r="AK109" s="122">
        <f t="shared" si="59"/>
        <v>0</v>
      </c>
      <c r="AM109" s="117">
        <v>1000</v>
      </c>
      <c r="AN109" s="117">
        <v>1000</v>
      </c>
      <c r="AP109" s="259"/>
      <c r="AR109" s="26">
        <v>1000</v>
      </c>
      <c r="AS109" s="26">
        <v>1421.19</v>
      </c>
      <c r="AU109" s="26">
        <f t="shared" si="53"/>
        <v>1000</v>
      </c>
      <c r="AV109" s="244"/>
      <c r="AW109" s="16">
        <f t="shared" si="60"/>
        <v>1000</v>
      </c>
      <c r="AX109" s="122">
        <f t="shared" si="61"/>
        <v>0</v>
      </c>
      <c r="AZ109" s="117">
        <v>1000</v>
      </c>
      <c r="BA109" s="117">
        <v>1000</v>
      </c>
      <c r="BC109" s="259"/>
      <c r="BE109" s="26">
        <v>1000</v>
      </c>
      <c r="BF109" s="26">
        <v>1727.64</v>
      </c>
      <c r="BH109" s="26">
        <v>1000</v>
      </c>
      <c r="BI109" s="244"/>
      <c r="BJ109" s="16">
        <f t="shared" si="51"/>
        <v>1000</v>
      </c>
      <c r="BK109" s="122">
        <f t="shared" si="62"/>
        <v>0</v>
      </c>
      <c r="BM109" s="117">
        <v>1000</v>
      </c>
      <c r="BN109" s="117">
        <v>1000</v>
      </c>
      <c r="BP109" s="259"/>
      <c r="BR109" s="117">
        <v>1000</v>
      </c>
      <c r="BS109" s="26">
        <v>168.23</v>
      </c>
      <c r="BU109" s="26">
        <v>1000</v>
      </c>
      <c r="BV109" s="247"/>
      <c r="BW109" s="576">
        <f t="shared" si="52"/>
        <v>1000</v>
      </c>
      <c r="BX109" s="577">
        <f t="shared" si="63"/>
        <v>0</v>
      </c>
      <c r="BZ109" s="166">
        <v>1000</v>
      </c>
      <c r="CA109" s="166">
        <v>1000</v>
      </c>
      <c r="CC109" s="753"/>
      <c r="CE109" s="166">
        <v>1000</v>
      </c>
      <c r="CF109" s="166"/>
      <c r="CJ109" s="886"/>
      <c r="CK109" s="1"/>
      <c r="CO109" s="16"/>
    </row>
    <row r="110" spans="1:93" x14ac:dyDescent="0.3">
      <c r="A110" s="11">
        <v>141</v>
      </c>
      <c r="B110" s="3" t="s">
        <v>2</v>
      </c>
      <c r="C110" s="37">
        <v>14105</v>
      </c>
      <c r="D110" s="37">
        <v>55800</v>
      </c>
      <c r="E110" s="49" t="s">
        <v>118</v>
      </c>
      <c r="F110" s="3" t="s">
        <v>2</v>
      </c>
      <c r="G110" s="3" t="s">
        <v>39</v>
      </c>
      <c r="H110" s="26">
        <v>1000</v>
      </c>
      <c r="I110" s="244">
        <v>300</v>
      </c>
      <c r="J110" s="16">
        <f t="shared" si="54"/>
        <v>1300</v>
      </c>
      <c r="K110" s="122">
        <f t="shared" si="55"/>
        <v>0.3</v>
      </c>
      <c r="M110" s="117">
        <v>1300</v>
      </c>
      <c r="N110" s="117">
        <v>1300</v>
      </c>
      <c r="P110" s="259" t="s">
        <v>523</v>
      </c>
      <c r="R110" s="26">
        <v>1300</v>
      </c>
      <c r="S110" s="26">
        <v>1462.15</v>
      </c>
      <c r="U110" s="26">
        <v>1300</v>
      </c>
      <c r="V110" s="244">
        <v>0</v>
      </c>
      <c r="W110" s="16">
        <f t="shared" si="56"/>
        <v>1300</v>
      </c>
      <c r="X110" s="122">
        <f t="shared" si="57"/>
        <v>0</v>
      </c>
      <c r="Z110" s="117">
        <v>1300</v>
      </c>
      <c r="AA110" s="117">
        <v>1300</v>
      </c>
      <c r="AC110" s="259"/>
      <c r="AE110" s="26">
        <v>1300</v>
      </c>
      <c r="AF110" s="200">
        <v>1511.15</v>
      </c>
      <c r="AH110" s="26">
        <v>1300</v>
      </c>
      <c r="AI110" s="244"/>
      <c r="AJ110" s="16">
        <f t="shared" si="58"/>
        <v>1300</v>
      </c>
      <c r="AK110" s="122">
        <f t="shared" si="59"/>
        <v>0</v>
      </c>
      <c r="AM110" s="117">
        <v>1300</v>
      </c>
      <c r="AN110" s="117">
        <v>1300</v>
      </c>
      <c r="AP110" s="259"/>
      <c r="AR110" s="26">
        <v>1300</v>
      </c>
      <c r="AS110" s="26">
        <v>1556.15</v>
      </c>
      <c r="AU110" s="26">
        <f t="shared" si="53"/>
        <v>1300</v>
      </c>
      <c r="AV110" s="244"/>
      <c r="AW110" s="16">
        <f t="shared" si="60"/>
        <v>1300</v>
      </c>
      <c r="AX110" s="122">
        <f t="shared" si="61"/>
        <v>0</v>
      </c>
      <c r="AZ110" s="117">
        <v>1300</v>
      </c>
      <c r="BA110" s="117">
        <f>1300+242</f>
        <v>1542</v>
      </c>
      <c r="BC110" s="266" t="s">
        <v>983</v>
      </c>
      <c r="BE110" s="26">
        <f>1300+242</f>
        <v>1542</v>
      </c>
      <c r="BF110" s="26">
        <v>1556.15</v>
      </c>
      <c r="BH110" s="26">
        <f>1300+242</f>
        <v>1542</v>
      </c>
      <c r="BI110" s="244"/>
      <c r="BJ110" s="16">
        <f t="shared" si="51"/>
        <v>1542</v>
      </c>
      <c r="BK110" s="122">
        <f t="shared" si="62"/>
        <v>0</v>
      </c>
      <c r="BM110" s="117">
        <v>1542</v>
      </c>
      <c r="BN110" s="117">
        <v>1542</v>
      </c>
      <c r="BP110" s="259"/>
      <c r="BR110" s="117">
        <v>1542</v>
      </c>
      <c r="BS110" s="26">
        <v>354</v>
      </c>
      <c r="BU110" s="26">
        <v>1542</v>
      </c>
      <c r="BV110" s="247"/>
      <c r="BW110" s="576">
        <f t="shared" si="52"/>
        <v>1542</v>
      </c>
      <c r="BX110" s="577">
        <f t="shared" si="63"/>
        <v>0</v>
      </c>
      <c r="BZ110" s="166">
        <v>1542</v>
      </c>
      <c r="CA110" s="166">
        <v>1542</v>
      </c>
      <c r="CC110" s="753"/>
      <c r="CE110" s="166">
        <v>1542</v>
      </c>
      <c r="CF110" s="166"/>
      <c r="CJ110" s="886"/>
      <c r="CK110" s="1"/>
      <c r="CO110" s="16"/>
    </row>
    <row r="111" spans="1:93" x14ac:dyDescent="0.3">
      <c r="A111" s="11">
        <v>141</v>
      </c>
      <c r="B111" s="3" t="s">
        <v>2</v>
      </c>
      <c r="C111" s="37">
        <v>14105</v>
      </c>
      <c r="D111" s="37">
        <v>57100</v>
      </c>
      <c r="E111" s="49" t="s">
        <v>118</v>
      </c>
      <c r="F111" s="3" t="s">
        <v>2</v>
      </c>
      <c r="G111" s="3" t="s">
        <v>105</v>
      </c>
      <c r="H111" s="26">
        <v>3200</v>
      </c>
      <c r="I111" s="244">
        <v>-1600</v>
      </c>
      <c r="J111" s="16">
        <f t="shared" si="54"/>
        <v>1600</v>
      </c>
      <c r="K111" s="122">
        <f t="shared" si="55"/>
        <v>-0.5</v>
      </c>
      <c r="M111" s="117">
        <v>1600</v>
      </c>
      <c r="N111" s="117">
        <v>1600</v>
      </c>
      <c r="P111" s="259" t="s">
        <v>522</v>
      </c>
      <c r="R111" s="26">
        <v>1600</v>
      </c>
      <c r="S111" s="26">
        <v>1885.84</v>
      </c>
      <c r="U111" s="26">
        <v>1600</v>
      </c>
      <c r="V111" s="244">
        <v>0</v>
      </c>
      <c r="W111" s="16">
        <f t="shared" si="56"/>
        <v>1600</v>
      </c>
      <c r="X111" s="122">
        <f t="shared" si="57"/>
        <v>0</v>
      </c>
      <c r="Z111" s="117">
        <v>1600</v>
      </c>
      <c r="AA111" s="117">
        <v>1600</v>
      </c>
      <c r="AC111" s="259"/>
      <c r="AE111" s="26">
        <v>1600</v>
      </c>
      <c r="AF111" s="200">
        <v>1797.79</v>
      </c>
      <c r="AH111" s="26">
        <v>1600</v>
      </c>
      <c r="AI111" s="244"/>
      <c r="AJ111" s="16">
        <f t="shared" si="58"/>
        <v>1600</v>
      </c>
      <c r="AK111" s="122">
        <f t="shared" si="59"/>
        <v>0</v>
      </c>
      <c r="AM111" s="117">
        <v>1600</v>
      </c>
      <c r="AN111" s="117">
        <v>1600</v>
      </c>
      <c r="AP111" s="259"/>
      <c r="AR111" s="26">
        <v>1600</v>
      </c>
      <c r="AS111" s="26">
        <v>425.66</v>
      </c>
      <c r="AU111" s="26">
        <f t="shared" si="53"/>
        <v>1600</v>
      </c>
      <c r="AV111" s="244"/>
      <c r="AW111" s="16">
        <f t="shared" si="60"/>
        <v>1600</v>
      </c>
      <c r="AX111" s="122">
        <f t="shared" si="61"/>
        <v>0</v>
      </c>
      <c r="AZ111" s="117">
        <v>1600</v>
      </c>
      <c r="BA111" s="117">
        <v>1600</v>
      </c>
      <c r="BC111" s="259"/>
      <c r="BE111" s="26">
        <v>1600</v>
      </c>
      <c r="BF111" s="26">
        <v>198.66</v>
      </c>
      <c r="BH111" s="26">
        <v>1600</v>
      </c>
      <c r="BI111" s="244"/>
      <c r="BJ111" s="16">
        <f t="shared" si="51"/>
        <v>1600</v>
      </c>
      <c r="BK111" s="122">
        <f t="shared" si="62"/>
        <v>0</v>
      </c>
      <c r="BM111" s="117">
        <v>1600</v>
      </c>
      <c r="BN111" s="117">
        <v>1600</v>
      </c>
      <c r="BP111" s="259"/>
      <c r="BR111" s="117">
        <v>1600</v>
      </c>
      <c r="BS111" s="26">
        <v>35.06</v>
      </c>
      <c r="BU111" s="26">
        <v>1600</v>
      </c>
      <c r="BV111" s="247"/>
      <c r="BW111" s="576">
        <f t="shared" si="52"/>
        <v>1600</v>
      </c>
      <c r="BX111" s="577">
        <f t="shared" si="63"/>
        <v>0</v>
      </c>
      <c r="BZ111" s="166">
        <v>1600</v>
      </c>
      <c r="CA111" s="166">
        <v>1600</v>
      </c>
      <c r="CC111" s="753"/>
      <c r="CE111" s="166">
        <v>1600</v>
      </c>
      <c r="CF111" s="166"/>
      <c r="CJ111" s="886"/>
      <c r="CK111" s="1"/>
      <c r="CO111" s="16"/>
    </row>
    <row r="112" spans="1:93" x14ac:dyDescent="0.3">
      <c r="A112" s="11">
        <v>141</v>
      </c>
      <c r="B112" s="3" t="s">
        <v>2</v>
      </c>
      <c r="C112" s="37">
        <v>14105</v>
      </c>
      <c r="D112" s="37">
        <v>57300</v>
      </c>
      <c r="E112" s="49" t="s">
        <v>118</v>
      </c>
      <c r="F112" s="3" t="s">
        <v>2</v>
      </c>
      <c r="G112" s="3" t="s">
        <v>40</v>
      </c>
      <c r="H112" s="26">
        <v>900</v>
      </c>
      <c r="I112" s="244">
        <v>353</v>
      </c>
      <c r="J112" s="16">
        <f t="shared" si="54"/>
        <v>1253</v>
      </c>
      <c r="K112" s="122">
        <f t="shared" si="55"/>
        <v>0.39222222222222225</v>
      </c>
      <c r="M112" s="117">
        <v>1253</v>
      </c>
      <c r="N112" s="117">
        <v>1253</v>
      </c>
      <c r="P112" s="259" t="s">
        <v>524</v>
      </c>
      <c r="R112" s="26">
        <v>1253</v>
      </c>
      <c r="S112" s="26">
        <v>705</v>
      </c>
      <c r="U112" s="26">
        <v>1253</v>
      </c>
      <c r="V112" s="244">
        <v>0</v>
      </c>
      <c r="W112" s="16">
        <f t="shared" si="56"/>
        <v>1253</v>
      </c>
      <c r="X112" s="122">
        <f t="shared" si="57"/>
        <v>0</v>
      </c>
      <c r="Z112" s="117">
        <v>1253</v>
      </c>
      <c r="AA112" s="117">
        <v>1253</v>
      </c>
      <c r="AC112" s="259"/>
      <c r="AE112" s="26">
        <v>1253</v>
      </c>
      <c r="AF112" s="200">
        <v>705</v>
      </c>
      <c r="AH112" s="26">
        <v>1253</v>
      </c>
      <c r="AI112" s="244"/>
      <c r="AJ112" s="16">
        <f t="shared" si="58"/>
        <v>1253</v>
      </c>
      <c r="AK112" s="122">
        <f t="shared" si="59"/>
        <v>0</v>
      </c>
      <c r="AM112" s="117">
        <v>1253</v>
      </c>
      <c r="AN112" s="117">
        <v>1253</v>
      </c>
      <c r="AP112" s="259"/>
      <c r="AR112" s="26">
        <v>1253</v>
      </c>
      <c r="AS112" s="26">
        <v>715</v>
      </c>
      <c r="AU112" s="26">
        <f t="shared" si="53"/>
        <v>1253</v>
      </c>
      <c r="AV112" s="244"/>
      <c r="AW112" s="16">
        <f t="shared" si="60"/>
        <v>1253</v>
      </c>
      <c r="AX112" s="122">
        <f t="shared" si="61"/>
        <v>0</v>
      </c>
      <c r="AZ112" s="117">
        <v>1253</v>
      </c>
      <c r="BA112" s="117">
        <v>1253</v>
      </c>
      <c r="BC112" s="259"/>
      <c r="BE112" s="26">
        <v>1253</v>
      </c>
      <c r="BF112" s="26">
        <v>785</v>
      </c>
      <c r="BH112" s="26">
        <v>1253</v>
      </c>
      <c r="BI112" s="244"/>
      <c r="BJ112" s="16">
        <f t="shared" si="51"/>
        <v>1253</v>
      </c>
      <c r="BK112" s="122">
        <f t="shared" si="62"/>
        <v>0</v>
      </c>
      <c r="BM112" s="117">
        <v>1253</v>
      </c>
      <c r="BN112" s="117">
        <v>1253</v>
      </c>
      <c r="BP112" s="259"/>
      <c r="BR112" s="117">
        <v>1253</v>
      </c>
      <c r="BS112" s="26">
        <v>827.5</v>
      </c>
      <c r="BU112" s="26">
        <v>1253</v>
      </c>
      <c r="BV112" s="247"/>
      <c r="BW112" s="576">
        <f t="shared" si="52"/>
        <v>1253</v>
      </c>
      <c r="BX112" s="577">
        <f t="shared" si="63"/>
        <v>0</v>
      </c>
      <c r="BZ112" s="166">
        <v>1253</v>
      </c>
      <c r="CA112" s="166">
        <v>1253</v>
      </c>
      <c r="CC112" s="753"/>
      <c r="CE112" s="166">
        <v>1253</v>
      </c>
      <c r="CF112" s="166"/>
      <c r="CJ112" s="886"/>
      <c r="CK112" s="1"/>
      <c r="CO112" s="16"/>
    </row>
    <row r="113" spans="1:93" s="19" customFormat="1" x14ac:dyDescent="0.3">
      <c r="A113" s="27"/>
      <c r="B113" s="8"/>
      <c r="C113" s="42"/>
      <c r="D113" s="42"/>
      <c r="E113" s="54"/>
      <c r="F113" s="8"/>
      <c r="G113" s="8" t="s">
        <v>139</v>
      </c>
      <c r="H113" s="28">
        <f>SUM(H100:H112)</f>
        <v>32650</v>
      </c>
      <c r="I113" s="28">
        <f>SUM(I100:I112)</f>
        <v>653</v>
      </c>
      <c r="J113" s="28">
        <f>SUM(J100:J112)</f>
        <v>33303</v>
      </c>
      <c r="K113" s="123">
        <f t="shared" si="55"/>
        <v>0.02</v>
      </c>
      <c r="M113" s="28">
        <f>SUM(M100:M112)</f>
        <v>33303</v>
      </c>
      <c r="N113" s="28">
        <f>SUM(N100:N112)</f>
        <v>33303</v>
      </c>
      <c r="P113" s="139">
        <f>SUM(P102:P112)</f>
        <v>0</v>
      </c>
      <c r="R113" s="28">
        <f>SUM(R100:R112)</f>
        <v>33303</v>
      </c>
      <c r="S113" s="28">
        <f>SUM(S100:S112)</f>
        <v>32038.050000000003</v>
      </c>
      <c r="U113" s="28">
        <f>SUM(U100:U112)</f>
        <v>33303</v>
      </c>
      <c r="V113" s="28">
        <f>SUM(V100:V112)</f>
        <v>0</v>
      </c>
      <c r="W113" s="28">
        <f>SUM(W100:W112)</f>
        <v>33303</v>
      </c>
      <c r="X113" s="123">
        <f t="shared" si="57"/>
        <v>0</v>
      </c>
      <c r="Z113" s="28">
        <f>SUM(Z100:Z112)</f>
        <v>33303</v>
      </c>
      <c r="AA113" s="28">
        <f>SUM(AA100:AA112)</f>
        <v>33303</v>
      </c>
      <c r="AC113" s="139"/>
      <c r="AE113" s="28">
        <f>SUM(AE100:AE112)</f>
        <v>33303</v>
      </c>
      <c r="AF113" s="28">
        <f>SUM(AF100:AF112)</f>
        <v>27572.960000000003</v>
      </c>
      <c r="AH113" s="28">
        <f>SUM(AH100:AH112)</f>
        <v>33303</v>
      </c>
      <c r="AI113" s="28">
        <f>SUM(AI100:AI112)</f>
        <v>0</v>
      </c>
      <c r="AJ113" s="28">
        <f>SUM(AJ100:AJ112)</f>
        <v>33303</v>
      </c>
      <c r="AK113" s="123">
        <f>IF(AH113=0," ",(AJ113-AH113)/AH113)</f>
        <v>0</v>
      </c>
      <c r="AM113" s="28">
        <f>SUM(AM100:AM112)</f>
        <v>43303</v>
      </c>
      <c r="AN113" s="28">
        <f>SUM(AN100:AN112)</f>
        <v>43303</v>
      </c>
      <c r="AP113" s="139"/>
      <c r="AR113" s="28">
        <f>SUM(AR100:AR112)</f>
        <v>43303</v>
      </c>
      <c r="AS113" s="28">
        <f>SUM(AS100:AS112)</f>
        <v>31540.18</v>
      </c>
      <c r="AU113" s="28">
        <f>SUM(AU100:AU112)</f>
        <v>43303</v>
      </c>
      <c r="AV113" s="28">
        <f>SUM(AV100:AV112)</f>
        <v>0</v>
      </c>
      <c r="AW113" s="28">
        <f>SUM(AW100:AW112)</f>
        <v>43303</v>
      </c>
      <c r="AX113" s="123">
        <f>IF(AU113=0," ",(AW113-AU113)/AU113)</f>
        <v>0</v>
      </c>
      <c r="AZ113" s="28">
        <f>SUM(AZ100:AZ112)</f>
        <v>43303</v>
      </c>
      <c r="BA113" s="28">
        <f>SUM(BA100:BA112)</f>
        <v>43695</v>
      </c>
      <c r="BC113" s="139"/>
      <c r="BE113" s="28">
        <f>SUM(BE100:BE112)</f>
        <v>43695</v>
      </c>
      <c r="BF113" s="28">
        <f>SUM(BF100:BF112)</f>
        <v>35249.19</v>
      </c>
      <c r="BG113" s="9"/>
      <c r="BH113" s="28">
        <f>SUM(BH100:BH112)</f>
        <v>43695</v>
      </c>
      <c r="BI113" s="28">
        <f>SUM(BI100:BI112)</f>
        <v>7600</v>
      </c>
      <c r="BJ113" s="28">
        <f>SUM(BJ100:BJ112)</f>
        <v>51295</v>
      </c>
      <c r="BK113" s="123">
        <f>IF(BH113=0," ",(BJ113-BH113)/BH113)</f>
        <v>0.17393294427280009</v>
      </c>
      <c r="BM113" s="28">
        <f>SUM(BM100:BM112)</f>
        <v>51295</v>
      </c>
      <c r="BN113" s="28">
        <f>SUM(BN100:BN112)</f>
        <v>55295</v>
      </c>
      <c r="BP113" s="139"/>
      <c r="BR113" s="28">
        <f>SUM(BR100:BR112)</f>
        <v>55295</v>
      </c>
      <c r="BS113" s="28">
        <f>SUM(BS100:BS112)</f>
        <v>28277.200000000001</v>
      </c>
      <c r="BT113" s="9"/>
      <c r="BU113" s="28">
        <f>SUM(BU100:BU112)</f>
        <v>55295</v>
      </c>
      <c r="BV113" s="28">
        <f>SUM(BV100:BV112)</f>
        <v>0</v>
      </c>
      <c r="BW113" s="28">
        <f>SUM(BW100:BW112)</f>
        <v>55295</v>
      </c>
      <c r="BX113" s="579">
        <f>IF(BU113=0," ",(BW113-BU113)/BU113)</f>
        <v>0</v>
      </c>
      <c r="BY113" s="580"/>
      <c r="BZ113" s="28">
        <f>SUM(BZ100:BZ112)</f>
        <v>55295</v>
      </c>
      <c r="CA113" s="28">
        <f>SUM(CA100:CA112)</f>
        <v>55295</v>
      </c>
      <c r="CB113" s="580"/>
      <c r="CC113" s="769"/>
      <c r="CD113" s="580"/>
      <c r="CE113" s="28">
        <f>SUM(CE100:CE112)</f>
        <v>55295</v>
      </c>
      <c r="CF113" s="28">
        <f>SUM(CF100:CF112)</f>
        <v>0</v>
      </c>
      <c r="CG113" s="9"/>
      <c r="CH113" s="815"/>
      <c r="CI113" s="815"/>
      <c r="CJ113" s="886"/>
      <c r="CK113" s="1"/>
      <c r="CO113" s="16"/>
    </row>
    <row r="114" spans="1:93" ht="9.9" customHeight="1" x14ac:dyDescent="0.3">
      <c r="AS114" s="16"/>
      <c r="CJ114" s="886"/>
      <c r="CK114" s="1"/>
      <c r="CO114" s="16"/>
    </row>
    <row r="115" spans="1:93" s="1" customFormat="1" x14ac:dyDescent="0.3">
      <c r="A115" s="20"/>
      <c r="B115" s="5"/>
      <c r="C115" s="39"/>
      <c r="D115" s="39"/>
      <c r="E115" s="51"/>
      <c r="F115" s="5"/>
      <c r="G115" s="21" t="s">
        <v>140</v>
      </c>
      <c r="H115" s="22">
        <f>H98+H113</f>
        <v>154427</v>
      </c>
      <c r="I115" s="22">
        <f>I98+I113</f>
        <v>6642</v>
      </c>
      <c r="J115" s="22">
        <f>J98+J113</f>
        <v>161069</v>
      </c>
      <c r="K115" s="124">
        <f>IF(H115=0," ",(J115-H115)/H115)</f>
        <v>4.3010613428998812E-2</v>
      </c>
      <c r="M115" s="22">
        <f>M98+M113</f>
        <v>161069</v>
      </c>
      <c r="N115" s="22">
        <f>N98+N113</f>
        <v>161069</v>
      </c>
      <c r="P115" s="136">
        <f>P98+P113</f>
        <v>0</v>
      </c>
      <c r="R115" s="22">
        <f>R98+R113</f>
        <v>161069</v>
      </c>
      <c r="S115" s="22">
        <f>S98+S113</f>
        <v>159392.43</v>
      </c>
      <c r="U115" s="22">
        <f>U98+U113</f>
        <v>161069</v>
      </c>
      <c r="V115" s="22">
        <f>V98+V113</f>
        <v>5884</v>
      </c>
      <c r="W115" s="22">
        <f>W98+W113</f>
        <v>166953</v>
      </c>
      <c r="X115" s="124">
        <f>IF(U115=0," ",(W115-U115)/U115)</f>
        <v>3.6530927739043519E-2</v>
      </c>
      <c r="Z115" s="22">
        <f>Z98+Z113</f>
        <v>166953</v>
      </c>
      <c r="AA115" s="22">
        <f>AA98+AA113</f>
        <v>166953</v>
      </c>
      <c r="AC115" s="136"/>
      <c r="AE115" s="22">
        <f>AE98+AE113</f>
        <v>166953</v>
      </c>
      <c r="AF115" s="199">
        <f>AF98+AF113</f>
        <v>160373.06</v>
      </c>
      <c r="AH115" s="22">
        <v>166953</v>
      </c>
      <c r="AI115" s="22">
        <f>AI98+AI113</f>
        <v>7253</v>
      </c>
      <c r="AJ115" s="22">
        <f>AJ98+AJ113</f>
        <v>174206</v>
      </c>
      <c r="AK115" s="124">
        <f>IF(AH115=0," ",(AJ115-AH115)/AH115)</f>
        <v>4.3443364300132375E-2</v>
      </c>
      <c r="AM115" s="22">
        <f>AM98+AM113</f>
        <v>184206</v>
      </c>
      <c r="AN115" s="22">
        <f>AN98+AN113</f>
        <v>184206</v>
      </c>
      <c r="AP115" s="136"/>
      <c r="AR115" s="22">
        <f>AR98+AR113</f>
        <v>184206</v>
      </c>
      <c r="AS115" s="22">
        <f>AS98+AS113</f>
        <v>171914.02</v>
      </c>
      <c r="AU115" s="22">
        <f>AU98+AU113</f>
        <v>184206</v>
      </c>
      <c r="AV115" s="22">
        <f>AV98+AV113</f>
        <v>5939</v>
      </c>
      <c r="AW115" s="22">
        <f>AW98+AW113</f>
        <v>190145</v>
      </c>
      <c r="AX115" s="124">
        <f>IF(AU115=0," ",(AW115-AU115)/AU115)</f>
        <v>3.2241077923628979E-2</v>
      </c>
      <c r="AZ115" s="22">
        <f>AZ98+AZ113</f>
        <v>189095</v>
      </c>
      <c r="BA115" s="22">
        <f>BA98+BA113</f>
        <v>187251</v>
      </c>
      <c r="BC115" s="136"/>
      <c r="BE115" s="22">
        <f>BE98+BE113</f>
        <v>187251</v>
      </c>
      <c r="BF115" s="22">
        <f>BF98+BF113</f>
        <v>175847.15000000002</v>
      </c>
      <c r="BH115" s="22">
        <f>BH98+BH113</f>
        <v>187251</v>
      </c>
      <c r="BI115" s="22">
        <f>BI98+BI113</f>
        <v>10401</v>
      </c>
      <c r="BJ115" s="22">
        <f>BJ98+BJ113</f>
        <v>197652</v>
      </c>
      <c r="BK115" s="124">
        <f>IF(BH115=0," ",(BJ115-BH115)/BH115)</f>
        <v>5.5545764775622029E-2</v>
      </c>
      <c r="BM115" s="22">
        <f>BM98+BM113</f>
        <v>197652</v>
      </c>
      <c r="BN115" s="22">
        <f>BN98+BN113</f>
        <v>201652</v>
      </c>
      <c r="BP115" s="136"/>
      <c r="BR115" s="22">
        <f>BR98+BR113</f>
        <v>201652</v>
      </c>
      <c r="BS115" s="22">
        <f>BS98+BS113</f>
        <v>88511.32</v>
      </c>
      <c r="BU115" s="22">
        <f>BU98+BU113</f>
        <v>201652</v>
      </c>
      <c r="BV115" s="531">
        <f>BV98+BV113</f>
        <v>1209</v>
      </c>
      <c r="BW115" s="581">
        <f>BW98+BW113</f>
        <v>202861</v>
      </c>
      <c r="BX115" s="582">
        <f>IF(BU115=0," ",(BW115-BU115)/BU115)</f>
        <v>5.9954773570309247E-3</v>
      </c>
      <c r="BY115" s="573"/>
      <c r="BZ115" s="581">
        <f>BZ98+BZ113</f>
        <v>202861</v>
      </c>
      <c r="CA115" s="581">
        <f>CA98+CA113</f>
        <v>202861</v>
      </c>
      <c r="CB115" s="573"/>
      <c r="CC115" s="764"/>
      <c r="CD115" s="573"/>
      <c r="CE115" s="581">
        <f>CE98+CE113</f>
        <v>202861</v>
      </c>
      <c r="CF115" s="581">
        <f>CF98+CF113</f>
        <v>0</v>
      </c>
      <c r="CH115" s="812"/>
      <c r="CI115" s="812"/>
      <c r="CJ115" s="886"/>
      <c r="CO115" s="16"/>
    </row>
    <row r="116" spans="1:93" ht="20.100000000000001" customHeight="1" x14ac:dyDescent="0.3">
      <c r="AS116" s="16"/>
      <c r="CJ116" s="886"/>
      <c r="CK116" s="1"/>
      <c r="CO116" s="16"/>
    </row>
    <row r="117" spans="1:93" s="1" customFormat="1" ht="15.6" x14ac:dyDescent="0.3">
      <c r="A117" s="14" t="s">
        <v>141</v>
      </c>
      <c r="B117" s="2"/>
      <c r="C117" s="36"/>
      <c r="D117" s="36"/>
      <c r="E117" s="48"/>
      <c r="F117" s="2"/>
      <c r="G117" s="2"/>
      <c r="H117" s="15"/>
      <c r="I117" s="15"/>
      <c r="J117" s="15"/>
      <c r="K117" s="121"/>
      <c r="M117" s="15"/>
      <c r="N117" s="15"/>
      <c r="P117" s="133"/>
      <c r="R117" s="15"/>
      <c r="S117" s="15"/>
      <c r="U117" s="15"/>
      <c r="V117" s="15"/>
      <c r="W117" s="15"/>
      <c r="X117" s="121"/>
      <c r="Z117" s="15"/>
      <c r="AA117" s="15"/>
      <c r="AC117" s="133"/>
      <c r="AE117" s="15"/>
      <c r="AF117" s="196"/>
      <c r="AH117" s="15"/>
      <c r="AI117" s="15"/>
      <c r="AJ117" s="15"/>
      <c r="AK117" s="121"/>
      <c r="AM117" s="15"/>
      <c r="AN117" s="15"/>
      <c r="AP117" s="133"/>
      <c r="AR117" s="15"/>
      <c r="AS117" s="15"/>
      <c r="AU117" s="15"/>
      <c r="AV117" s="15"/>
      <c r="AW117" s="15"/>
      <c r="AX117" s="121"/>
      <c r="AZ117" s="15"/>
      <c r="BA117" s="15"/>
      <c r="BC117" s="133"/>
      <c r="BE117" s="15"/>
      <c r="BF117" s="15"/>
      <c r="BH117" s="15"/>
      <c r="BI117" s="15"/>
      <c r="BJ117" s="15"/>
      <c r="BK117" s="121"/>
      <c r="BM117" s="15"/>
      <c r="BN117" s="15"/>
      <c r="BP117" s="234"/>
      <c r="BR117" s="15"/>
      <c r="BS117" s="15"/>
      <c r="BU117" s="15"/>
      <c r="BV117" s="529"/>
      <c r="BW117" s="574"/>
      <c r="BX117" s="575"/>
      <c r="BY117" s="573"/>
      <c r="BZ117" s="574"/>
      <c r="CA117" s="574"/>
      <c r="CB117" s="573"/>
      <c r="CC117" s="761"/>
      <c r="CD117" s="573"/>
      <c r="CE117" s="574"/>
      <c r="CF117" s="574"/>
      <c r="CH117" s="812"/>
      <c r="CI117" s="812"/>
      <c r="CJ117" s="886"/>
      <c r="CO117" s="16"/>
    </row>
    <row r="118" spans="1:93" x14ac:dyDescent="0.3">
      <c r="A118" s="11">
        <v>145</v>
      </c>
      <c r="B118" s="3" t="s">
        <v>2</v>
      </c>
      <c r="C118" s="37">
        <v>14501</v>
      </c>
      <c r="D118" s="37">
        <v>51120</v>
      </c>
      <c r="E118" s="49" t="s">
        <v>119</v>
      </c>
      <c r="F118" s="3" t="s">
        <v>2</v>
      </c>
      <c r="G118" s="3" t="s">
        <v>41</v>
      </c>
      <c r="H118" s="26">
        <v>92394</v>
      </c>
      <c r="I118" s="244">
        <v>4077</v>
      </c>
      <c r="J118" s="16">
        <f>H118+I118</f>
        <v>96471</v>
      </c>
      <c r="K118" s="122">
        <f>IF(H118=0," ",(J118-H118)/H118)</f>
        <v>4.4126241963763878E-2</v>
      </c>
      <c r="M118" s="117">
        <v>96471</v>
      </c>
      <c r="N118" s="117">
        <v>96471</v>
      </c>
      <c r="P118" s="259" t="s">
        <v>543</v>
      </c>
      <c r="R118" s="26">
        <v>96471</v>
      </c>
      <c r="S118" s="26">
        <v>96471</v>
      </c>
      <c r="U118" s="26">
        <v>96471</v>
      </c>
      <c r="V118" s="244">
        <v>4638</v>
      </c>
      <c r="W118" s="16">
        <f>U118+V118</f>
        <v>101109</v>
      </c>
      <c r="X118" s="122">
        <f>IF(U118=0," ",(W118-U118)/U118)</f>
        <v>4.8076624063189972E-2</v>
      </c>
      <c r="Z118" s="117">
        <v>101109</v>
      </c>
      <c r="AA118" s="117">
        <v>101109</v>
      </c>
      <c r="AC118" s="259" t="s">
        <v>656</v>
      </c>
      <c r="AE118" s="26">
        <v>101109</v>
      </c>
      <c r="AF118" s="200">
        <v>101108.8</v>
      </c>
      <c r="AH118" s="26">
        <v>101109</v>
      </c>
      <c r="AI118" s="244">
        <v>5683</v>
      </c>
      <c r="AJ118" s="16">
        <f>AH118+AI118</f>
        <v>106792</v>
      </c>
      <c r="AK118" s="122">
        <f>IF(AH118=0," ",(AJ118-AH118)/AH118)</f>
        <v>5.6206668051310964E-2</v>
      </c>
      <c r="AM118" s="117">
        <v>106792</v>
      </c>
      <c r="AN118" s="117">
        <v>106792</v>
      </c>
      <c r="AP118" s="259"/>
      <c r="AR118" s="26">
        <v>106792</v>
      </c>
      <c r="AS118" s="26">
        <v>105224.44</v>
      </c>
      <c r="AU118" s="26">
        <f>AR118</f>
        <v>106792</v>
      </c>
      <c r="AV118" s="244">
        <v>1701</v>
      </c>
      <c r="AW118" s="16">
        <f>AU118+AV118</f>
        <v>108493</v>
      </c>
      <c r="AX118" s="122">
        <f>IF(AU118=0," ",(AW118-AU118)/AU118)</f>
        <v>1.5928159412690088E-2</v>
      </c>
      <c r="AZ118" s="117">
        <v>108075</v>
      </c>
      <c r="BA118" s="117">
        <v>106363</v>
      </c>
      <c r="BC118" s="259" t="s">
        <v>965</v>
      </c>
      <c r="BE118" s="26">
        <v>106363</v>
      </c>
      <c r="BF118" s="26">
        <v>106566.48</v>
      </c>
      <c r="BH118" s="26">
        <v>106363</v>
      </c>
      <c r="BI118" s="244">
        <v>2130</v>
      </c>
      <c r="BJ118" s="16">
        <f>BH118+BI118</f>
        <v>108493</v>
      </c>
      <c r="BK118" s="122">
        <f>IF(BH118=0," ",(BJ118-BH118)/BH118)</f>
        <v>2.0025760837885355E-2</v>
      </c>
      <c r="BM118" s="117">
        <v>108493</v>
      </c>
      <c r="BN118" s="117">
        <v>108493</v>
      </c>
      <c r="BP118" s="428" t="s">
        <v>1290</v>
      </c>
      <c r="BR118" s="117">
        <v>108493</v>
      </c>
      <c r="BS118" s="26">
        <v>48322.8</v>
      </c>
      <c r="BU118" s="26">
        <v>108493</v>
      </c>
      <c r="BV118" s="244">
        <v>2171</v>
      </c>
      <c r="BW118" s="576">
        <f>BU118+BV118</f>
        <v>110664</v>
      </c>
      <c r="BX118" s="577">
        <f>IF(BU118=0," ",(BW118-BU118)/BU118)</f>
        <v>2.0010507590351452E-2</v>
      </c>
      <c r="BZ118" s="166">
        <v>110664</v>
      </c>
      <c r="CA118" s="166">
        <v>110664</v>
      </c>
      <c r="CC118" s="765" t="s">
        <v>1367</v>
      </c>
      <c r="CE118" s="166">
        <v>110664</v>
      </c>
      <c r="CF118" s="166"/>
      <c r="CJ118" s="886"/>
      <c r="CK118" s="1"/>
      <c r="CO118" s="16"/>
    </row>
    <row r="119" spans="1:93" x14ac:dyDescent="0.3">
      <c r="A119" s="11">
        <v>145</v>
      </c>
      <c r="B119" s="3" t="s">
        <v>2</v>
      </c>
      <c r="C119" s="37">
        <v>14501</v>
      </c>
      <c r="D119" s="37">
        <v>51490</v>
      </c>
      <c r="E119" s="49" t="s">
        <v>119</v>
      </c>
      <c r="F119" s="3" t="s">
        <v>2</v>
      </c>
      <c r="G119" s="3" t="s">
        <v>42</v>
      </c>
      <c r="H119" s="26">
        <v>1000</v>
      </c>
      <c r="I119" s="245"/>
      <c r="J119" s="16">
        <f>H119+I119</f>
        <v>1000</v>
      </c>
      <c r="K119" s="122">
        <f>IF(H119=0," ",(J119-H119)/H119)</f>
        <v>0</v>
      </c>
      <c r="M119" s="118">
        <v>1000</v>
      </c>
      <c r="N119" s="118">
        <v>1000</v>
      </c>
      <c r="P119" s="137"/>
      <c r="R119" s="144">
        <v>1000</v>
      </c>
      <c r="S119" s="144">
        <v>1000</v>
      </c>
      <c r="U119" s="144">
        <v>1000</v>
      </c>
      <c r="V119" s="245"/>
      <c r="W119" s="16">
        <f>U119+V119</f>
        <v>1000</v>
      </c>
      <c r="X119" s="122">
        <f>IF(U119=0," ",(W119-U119)/U119)</f>
        <v>0</v>
      </c>
      <c r="Z119" s="118">
        <v>1000</v>
      </c>
      <c r="AA119" s="118">
        <v>1000</v>
      </c>
      <c r="AC119" s="137"/>
      <c r="AE119" s="144">
        <v>1000</v>
      </c>
      <c r="AF119" s="271">
        <v>1000</v>
      </c>
      <c r="AH119" s="144">
        <v>1000</v>
      </c>
      <c r="AI119" s="245"/>
      <c r="AJ119" s="16">
        <f>AH119+AI119</f>
        <v>1000</v>
      </c>
      <c r="AK119" s="122">
        <f>IF(AH119=0," ",(AJ119-AH119)/AH119)</f>
        <v>0</v>
      </c>
      <c r="AM119" s="117">
        <v>1000</v>
      </c>
      <c r="AN119" s="117">
        <v>1000</v>
      </c>
      <c r="AP119" s="137"/>
      <c r="AR119" s="26">
        <v>1000</v>
      </c>
      <c r="AS119" s="26">
        <v>1000</v>
      </c>
      <c r="AU119" s="26">
        <f>AR119</f>
        <v>1000</v>
      </c>
      <c r="AV119" s="245">
        <v>-1000</v>
      </c>
      <c r="AW119" s="16">
        <f>AU119+AV119</f>
        <v>0</v>
      </c>
      <c r="AX119" s="122">
        <f>IF(AU119=0," ",(AW119-AU119)/AU119)</f>
        <v>-1</v>
      </c>
      <c r="AZ119" s="117"/>
      <c r="BA119" s="117"/>
      <c r="BC119" s="137"/>
      <c r="BE119" s="26"/>
      <c r="BF119" s="26"/>
      <c r="BH119" s="26"/>
      <c r="BI119" s="245"/>
      <c r="BJ119" s="16">
        <f>BH119+BI119</f>
        <v>0</v>
      </c>
      <c r="BK119" s="122" t="str">
        <f>IF(BH119=0," ",(BJ119-BH119)/BH119)</f>
        <v xml:space="preserve"> </v>
      </c>
      <c r="BM119" s="117">
        <v>0</v>
      </c>
      <c r="BN119" s="117">
        <v>0</v>
      </c>
      <c r="BP119" s="137"/>
      <c r="BR119" s="117">
        <v>0</v>
      </c>
      <c r="BS119" s="144"/>
      <c r="BU119" s="26">
        <v>0</v>
      </c>
      <c r="BV119" s="245"/>
      <c r="BW119" s="576">
        <f>BU119+BV119</f>
        <v>0</v>
      </c>
      <c r="BX119" s="577" t="str">
        <f>IF(BU119=0," ",(BW119-BU119)/BU119)</f>
        <v xml:space="preserve"> </v>
      </c>
      <c r="BZ119" s="166">
        <v>0</v>
      </c>
      <c r="CA119" s="166">
        <v>0</v>
      </c>
      <c r="CC119" s="767"/>
      <c r="CE119" s="166">
        <v>0</v>
      </c>
      <c r="CF119" s="166"/>
      <c r="CJ119" s="886"/>
      <c r="CK119" s="1"/>
      <c r="CO119" s="16"/>
    </row>
    <row r="120" spans="1:93" x14ac:dyDescent="0.3">
      <c r="H120" s="145">
        <f>SUM(H118:H119)</f>
        <v>93394</v>
      </c>
      <c r="I120" s="32">
        <f>SUM(I118:I119)</f>
        <v>4077</v>
      </c>
      <c r="J120" s="32">
        <f>SUM(J118:J119)</f>
        <v>97471</v>
      </c>
      <c r="K120" s="128">
        <f>IF(H120=0," ",(J120-H120)/H120)</f>
        <v>4.3653767908002655E-2</v>
      </c>
      <c r="M120" s="32">
        <f>SUM(M118:M119)</f>
        <v>97471</v>
      </c>
      <c r="N120" s="32">
        <f>SUM(N118:N119)</f>
        <v>97471</v>
      </c>
      <c r="P120" s="141">
        <f>SUM(P118:P119)</f>
        <v>0</v>
      </c>
      <c r="R120" s="145">
        <f>SUM(R118:R119)</f>
        <v>97471</v>
      </c>
      <c r="S120" s="145">
        <f>SUM(S118:S119)</f>
        <v>97471</v>
      </c>
      <c r="U120" s="145">
        <f>SUM(U118:U119)</f>
        <v>97471</v>
      </c>
      <c r="V120" s="32">
        <f>SUM(V118:V119)</f>
        <v>4638</v>
      </c>
      <c r="W120" s="32">
        <f>SUM(W118:W119)</f>
        <v>102109</v>
      </c>
      <c r="X120" s="128">
        <f>IF(U120=0," ",(W120-U120)/U120)</f>
        <v>4.7583383775687126E-2</v>
      </c>
      <c r="Z120" s="32">
        <f>SUM(Z118:Z119)</f>
        <v>102109</v>
      </c>
      <c r="AA120" s="32">
        <f>SUM(AA118:AA119)</f>
        <v>102109</v>
      </c>
      <c r="AC120" s="141"/>
      <c r="AE120" s="32">
        <f>SUM(AE118:AE119)</f>
        <v>102109</v>
      </c>
      <c r="AF120" s="274">
        <f>SUM(AF118:AF119)</f>
        <v>102108.8</v>
      </c>
      <c r="AH120" s="145">
        <v>102109</v>
      </c>
      <c r="AI120" s="32">
        <f>SUM(AI118:AI119)</f>
        <v>5683</v>
      </c>
      <c r="AJ120" s="32">
        <f>SUM(AJ118:AJ119)</f>
        <v>107792</v>
      </c>
      <c r="AK120" s="128">
        <f>IF(AH120=0," ",(AJ120-AH120)/AH120)</f>
        <v>5.565621052013045E-2</v>
      </c>
      <c r="AM120" s="32">
        <f>SUM(AM118:AM119)</f>
        <v>107792</v>
      </c>
      <c r="AN120" s="32">
        <f>SUM(AN118:AN119)</f>
        <v>107792</v>
      </c>
      <c r="AP120" s="141"/>
      <c r="AR120" s="145">
        <f>SUM(AR118:AR119)</f>
        <v>107792</v>
      </c>
      <c r="AS120" s="145">
        <f>SUM(AS118:AS119)</f>
        <v>106224.44</v>
      </c>
      <c r="AU120" s="145">
        <f>SUM(AU118:AU119)</f>
        <v>107792</v>
      </c>
      <c r="AV120" s="32">
        <f>SUM(AV118:AV119)</f>
        <v>701</v>
      </c>
      <c r="AW120" s="32">
        <f>SUM(AW118:AW119)</f>
        <v>108493</v>
      </c>
      <c r="AX120" s="128">
        <f>IF(AU120=0," ",(AW120-AU120)/AU120)</f>
        <v>6.5032655484637079E-3</v>
      </c>
      <c r="AZ120" s="32">
        <f>SUM(AZ118:AZ119)</f>
        <v>108075</v>
      </c>
      <c r="BA120" s="32">
        <f>SUM(BA118:BA119)</f>
        <v>106363</v>
      </c>
      <c r="BC120" s="141"/>
      <c r="BE120" s="145">
        <f>SUM(BE118:BE119)</f>
        <v>106363</v>
      </c>
      <c r="BF120" s="145">
        <f>SUM(BF118:BF119)</f>
        <v>106566.48</v>
      </c>
      <c r="BH120" s="145">
        <f>SUM(BH118:BH119)</f>
        <v>106363</v>
      </c>
      <c r="BI120" s="32">
        <f>SUM(BI118:BI119)</f>
        <v>2130</v>
      </c>
      <c r="BJ120" s="32">
        <f>SUM(BJ118:BJ119)</f>
        <v>108493</v>
      </c>
      <c r="BK120" s="128">
        <f>IF(BH120=0," ",(BJ120-BH120)/BH120)</f>
        <v>2.0025760837885355E-2</v>
      </c>
      <c r="BM120" s="145">
        <f>SUM(BM118:BM119)</f>
        <v>108493</v>
      </c>
      <c r="BN120" s="145">
        <f>SUM(BN118:BN119)</f>
        <v>108493</v>
      </c>
      <c r="BP120" s="141"/>
      <c r="BR120" s="145">
        <f>SUM(BR118:BR119)</f>
        <v>108493</v>
      </c>
      <c r="BS120" s="145">
        <f>SUM(BS118:BS119)</f>
        <v>48322.8</v>
      </c>
      <c r="BU120" s="145">
        <f>SUM(BU118:BU119)</f>
        <v>108493</v>
      </c>
      <c r="BV120" s="32">
        <f>SUM(BV118:BV119)</f>
        <v>2171</v>
      </c>
      <c r="BW120" s="595">
        <f>SUM(BW118:BW119)</f>
        <v>110664</v>
      </c>
      <c r="BX120" s="596">
        <f>IF(BU120=0," ",(BW120-BU120)/BU120)</f>
        <v>2.0010507590351452E-2</v>
      </c>
      <c r="BZ120" s="597">
        <f>SUM(BZ118:BZ119)</f>
        <v>110664</v>
      </c>
      <c r="CA120" s="597">
        <f>SUM(CA118:CA119)</f>
        <v>110664</v>
      </c>
      <c r="CC120" s="770"/>
      <c r="CE120" s="597">
        <f>SUM(CE118:CE119)</f>
        <v>110664</v>
      </c>
      <c r="CF120" s="597">
        <f>SUM(CF118:CF119)</f>
        <v>0</v>
      </c>
      <c r="CJ120" s="886"/>
      <c r="CK120" s="1"/>
      <c r="CO120" s="16"/>
    </row>
    <row r="121" spans="1:93" x14ac:dyDescent="0.3">
      <c r="H121" s="26"/>
      <c r="R121" s="26"/>
      <c r="S121" s="26"/>
      <c r="AF121" s="200"/>
      <c r="AH121" s="26"/>
      <c r="AR121" s="26"/>
      <c r="AS121" s="26"/>
      <c r="AU121" s="26"/>
      <c r="BE121" s="26"/>
      <c r="BF121" s="26"/>
      <c r="BH121" s="26"/>
      <c r="BM121" s="26"/>
      <c r="BN121" s="26"/>
      <c r="BR121" s="26"/>
      <c r="BS121" s="26"/>
      <c r="BU121" s="26"/>
      <c r="BZ121" s="589"/>
      <c r="CA121" s="589"/>
      <c r="CE121" s="589"/>
      <c r="CF121" s="589"/>
      <c r="CJ121" s="886"/>
      <c r="CK121" s="1"/>
      <c r="CO121" s="16"/>
    </row>
    <row r="122" spans="1:93" x14ac:dyDescent="0.3">
      <c r="A122" s="11">
        <v>145</v>
      </c>
      <c r="B122" s="3" t="s">
        <v>2</v>
      </c>
      <c r="C122" s="37">
        <v>14502</v>
      </c>
      <c r="D122" s="37">
        <v>51130</v>
      </c>
      <c r="E122" s="49" t="s">
        <v>11</v>
      </c>
      <c r="F122" s="3" t="s">
        <v>2</v>
      </c>
      <c r="G122" s="3" t="s">
        <v>44</v>
      </c>
      <c r="H122" s="26">
        <v>42777</v>
      </c>
      <c r="I122" s="244">
        <v>1989</v>
      </c>
      <c r="J122" s="16">
        <f>H122+I122</f>
        <v>44766</v>
      </c>
      <c r="K122" s="122">
        <f>IF(H122=0," ",(J122-H122)/H122)</f>
        <v>4.6496949295181993E-2</v>
      </c>
      <c r="M122" s="117">
        <v>44766</v>
      </c>
      <c r="N122" s="117">
        <v>44766</v>
      </c>
      <c r="P122" s="259" t="s">
        <v>544</v>
      </c>
      <c r="R122" s="26">
        <v>44766</v>
      </c>
      <c r="S122" s="26">
        <v>44766</v>
      </c>
      <c r="U122" s="26">
        <v>44766</v>
      </c>
      <c r="V122" s="244">
        <v>2140</v>
      </c>
      <c r="W122" s="16">
        <f>U122+V122</f>
        <v>46906</v>
      </c>
      <c r="X122" s="122">
        <f>IF(U122=0," ",(W122-U122)/U122)</f>
        <v>4.780413706831077E-2</v>
      </c>
      <c r="Z122" s="117">
        <v>46906</v>
      </c>
      <c r="AA122" s="117">
        <v>46906</v>
      </c>
      <c r="AC122" s="259" t="s">
        <v>655</v>
      </c>
      <c r="AE122" s="26">
        <v>46906</v>
      </c>
      <c r="AF122" s="200">
        <v>46918.31</v>
      </c>
      <c r="AH122" s="26">
        <v>46906</v>
      </c>
      <c r="AI122" s="244">
        <v>2662</v>
      </c>
      <c r="AJ122" s="16">
        <f>AH122+AI122</f>
        <v>49568</v>
      </c>
      <c r="AK122" s="122">
        <f>IF(AH122=0," ",(AJ122-AH122)/AH122)</f>
        <v>5.6751801475291005E-2</v>
      </c>
      <c r="AM122" s="117">
        <v>49568</v>
      </c>
      <c r="AN122" s="117">
        <v>49568</v>
      </c>
      <c r="AP122" s="259"/>
      <c r="AR122" s="26">
        <v>49568</v>
      </c>
      <c r="AS122" s="26">
        <v>49567.4</v>
      </c>
      <c r="AU122" s="26">
        <f>AR122</f>
        <v>49568</v>
      </c>
      <c r="AV122" s="244">
        <v>2135</v>
      </c>
      <c r="AW122" s="16">
        <f>AU122+AV122</f>
        <v>51703</v>
      </c>
      <c r="AX122" s="122">
        <f>IF(AU122=0," ",(AW122-AU122)/AU122)</f>
        <v>4.3072143318269848E-2</v>
      </c>
      <c r="AZ122" s="117">
        <v>51508</v>
      </c>
      <c r="BA122" s="117">
        <v>50691</v>
      </c>
      <c r="BC122" s="259" t="s">
        <v>968</v>
      </c>
      <c r="BE122" s="26">
        <v>50691</v>
      </c>
      <c r="BF122" s="26">
        <v>50790.45</v>
      </c>
      <c r="BH122" s="26">
        <v>50691</v>
      </c>
      <c r="BI122" s="244">
        <v>1028</v>
      </c>
      <c r="BJ122" s="16">
        <f>BH122+BI122</f>
        <v>51719</v>
      </c>
      <c r="BK122" s="122">
        <f>IF(BH122=0," ",(BJ122-BH122)/BH122)</f>
        <v>2.0279734075082361E-2</v>
      </c>
      <c r="BM122" s="117">
        <v>51719</v>
      </c>
      <c r="BN122" s="117">
        <v>51719</v>
      </c>
      <c r="BP122" s="428" t="s">
        <v>1293</v>
      </c>
      <c r="BR122" s="117">
        <v>51719</v>
      </c>
      <c r="BS122" s="26">
        <v>23004.799999999999</v>
      </c>
      <c r="BU122" s="26">
        <v>51719</v>
      </c>
      <c r="BV122" s="244">
        <v>792</v>
      </c>
      <c r="BW122" s="576">
        <f>BU122+BV122</f>
        <v>52511</v>
      </c>
      <c r="BX122" s="577">
        <f>IF(BU122=0," ",(BW122-BU122)/BU122)</f>
        <v>1.5313521143100214E-2</v>
      </c>
      <c r="BZ122" s="166">
        <v>52511</v>
      </c>
      <c r="CA122" s="166">
        <v>52511</v>
      </c>
      <c r="CC122" s="765" t="s">
        <v>1322</v>
      </c>
      <c r="CE122" s="166">
        <v>52511</v>
      </c>
      <c r="CF122" s="166"/>
      <c r="CJ122" s="886"/>
      <c r="CK122" s="1"/>
      <c r="CO122" s="16"/>
    </row>
    <row r="123" spans="1:93" x14ac:dyDescent="0.3">
      <c r="A123" s="11">
        <v>145</v>
      </c>
      <c r="B123" s="3" t="s">
        <v>2</v>
      </c>
      <c r="C123" s="37">
        <v>14502</v>
      </c>
      <c r="D123" s="37">
        <v>51140</v>
      </c>
      <c r="E123" s="49" t="s">
        <v>11</v>
      </c>
      <c r="F123" s="3" t="s">
        <v>2</v>
      </c>
      <c r="G123" s="3" t="s">
        <v>43</v>
      </c>
      <c r="H123" s="26">
        <v>43982</v>
      </c>
      <c r="I123" s="244">
        <v>2004</v>
      </c>
      <c r="J123" s="16">
        <f>H123+I123</f>
        <v>45986</v>
      </c>
      <c r="K123" s="122">
        <f>IF(H123=0," ",(J123-H123)/H123)</f>
        <v>4.5564094402255471E-2</v>
      </c>
      <c r="M123" s="117">
        <v>51396</v>
      </c>
      <c r="N123" s="185">
        <f>45986+5410</f>
        <v>51396</v>
      </c>
      <c r="P123" s="259" t="s">
        <v>545</v>
      </c>
      <c r="R123" s="30">
        <f>45986+5410</f>
        <v>51396</v>
      </c>
      <c r="S123" s="30">
        <f>45986+5410</f>
        <v>51396</v>
      </c>
      <c r="U123" s="30">
        <f>45986+5410</f>
        <v>51396</v>
      </c>
      <c r="V123" s="244">
        <v>2450</v>
      </c>
      <c r="W123" s="16">
        <f>U123+V123</f>
        <v>53846</v>
      </c>
      <c r="X123" s="122">
        <f>IF(U123=0," ",(W123-U123)/U123)</f>
        <v>4.7669079305782548E-2</v>
      </c>
      <c r="Z123" s="117">
        <v>53846</v>
      </c>
      <c r="AA123" s="117">
        <v>53846</v>
      </c>
      <c r="AC123" s="259" t="s">
        <v>653</v>
      </c>
      <c r="AE123" s="26">
        <v>53846</v>
      </c>
      <c r="AF123" s="200">
        <v>53846.01</v>
      </c>
      <c r="AH123" s="26">
        <v>53846</v>
      </c>
      <c r="AI123" s="244">
        <v>3095</v>
      </c>
      <c r="AJ123" s="16">
        <f>AH123+AI123</f>
        <v>56941</v>
      </c>
      <c r="AK123" s="122">
        <f>IF(AH123=0," ",(AJ123-AH123)/AH123)</f>
        <v>5.7478735653530441E-2</v>
      </c>
      <c r="AM123" s="117">
        <v>56941</v>
      </c>
      <c r="AN123" s="117">
        <v>56941</v>
      </c>
      <c r="AP123" s="259"/>
      <c r="AR123" s="26">
        <v>56941</v>
      </c>
      <c r="AS123" s="26">
        <v>55724.639999999999</v>
      </c>
      <c r="AU123" s="26">
        <f>AR123</f>
        <v>56941</v>
      </c>
      <c r="AV123" s="244">
        <v>2456</v>
      </c>
      <c r="AW123" s="16">
        <f>AU123+AV123</f>
        <v>59397</v>
      </c>
      <c r="AX123" s="122">
        <f>IF(AU123=0," ",(AW123-AU123)/AU123)</f>
        <v>4.3132365079643839E-2</v>
      </c>
      <c r="AZ123" s="117">
        <v>59158</v>
      </c>
      <c r="BA123" s="117">
        <v>58226</v>
      </c>
      <c r="BC123" s="259" t="s">
        <v>966</v>
      </c>
      <c r="BE123" s="26">
        <v>58226</v>
      </c>
      <c r="BF123" s="26">
        <v>58254.57</v>
      </c>
      <c r="BH123" s="26">
        <v>58226</v>
      </c>
      <c r="BI123" s="244">
        <v>1186</v>
      </c>
      <c r="BJ123" s="16">
        <f>BH123+BI123</f>
        <v>59412</v>
      </c>
      <c r="BK123" s="122">
        <f>IF(BH123=0," ",(BJ123-BH123)/BH123)</f>
        <v>2.0368907360972761E-2</v>
      </c>
      <c r="BM123" s="117">
        <v>59412</v>
      </c>
      <c r="BN123" s="117">
        <v>59412</v>
      </c>
      <c r="BP123" s="428" t="s">
        <v>1294</v>
      </c>
      <c r="BR123" s="117">
        <v>59412</v>
      </c>
      <c r="BS123" s="26">
        <v>26443.16</v>
      </c>
      <c r="BU123" s="26">
        <v>59412</v>
      </c>
      <c r="BV123" s="244">
        <v>916</v>
      </c>
      <c r="BW123" s="576">
        <f>BU123+BV123</f>
        <v>60328</v>
      </c>
      <c r="BX123" s="577">
        <f>IF(BU123=0," ",(BW123-BU123)/BU123)</f>
        <v>1.5417760721739716E-2</v>
      </c>
      <c r="BZ123" s="166">
        <v>60328</v>
      </c>
      <c r="CA123" s="166">
        <v>60328</v>
      </c>
      <c r="CC123" s="765" t="s">
        <v>1321</v>
      </c>
      <c r="CE123" s="166">
        <v>60328</v>
      </c>
      <c r="CF123" s="166"/>
      <c r="CJ123" s="886"/>
      <c r="CK123" s="1"/>
      <c r="CO123" s="16"/>
    </row>
    <row r="124" spans="1:93" s="7" customFormat="1" x14ac:dyDescent="0.3">
      <c r="A124" s="23">
        <v>145</v>
      </c>
      <c r="C124" s="40">
        <v>14502</v>
      </c>
      <c r="D124" s="40">
        <v>51490</v>
      </c>
      <c r="E124" s="53" t="s">
        <v>11</v>
      </c>
      <c r="G124" s="7" t="s">
        <v>727</v>
      </c>
      <c r="H124" s="146"/>
      <c r="I124" s="246"/>
      <c r="J124" s="31">
        <f>H124+I124</f>
        <v>0</v>
      </c>
      <c r="K124" s="148" t="str">
        <f>IF(H124=0," ",(J124-H124)/H124)</f>
        <v xml:space="preserve"> </v>
      </c>
      <c r="M124" s="147">
        <v>0</v>
      </c>
      <c r="N124" s="147">
        <v>0</v>
      </c>
      <c r="P124" s="149"/>
      <c r="R124" s="146">
        <v>0</v>
      </c>
      <c r="S124" s="146">
        <v>0</v>
      </c>
      <c r="U124" s="146">
        <v>0</v>
      </c>
      <c r="V124" s="246"/>
      <c r="W124" s="31">
        <f>U124+V124</f>
        <v>0</v>
      </c>
      <c r="X124" s="148" t="str">
        <f>IF(U124=0," ",(W124-U124)/U124)</f>
        <v xml:space="preserve"> </v>
      </c>
      <c r="Z124" s="147"/>
      <c r="AA124" s="187">
        <v>750</v>
      </c>
      <c r="AB124" s="97"/>
      <c r="AC124" s="149" t="s">
        <v>734</v>
      </c>
      <c r="AD124" s="97"/>
      <c r="AE124" s="79">
        <v>750</v>
      </c>
      <c r="AF124" s="276">
        <v>750</v>
      </c>
      <c r="AH124" s="79">
        <v>750</v>
      </c>
      <c r="AI124" s="246"/>
      <c r="AJ124" s="31">
        <f>AH124+AI124</f>
        <v>750</v>
      </c>
      <c r="AK124" s="148">
        <f>IF(AH124=0," ",(AJ124-AH124)/AH124)</f>
        <v>0</v>
      </c>
      <c r="AM124" s="147">
        <v>750</v>
      </c>
      <c r="AN124" s="147">
        <v>750</v>
      </c>
      <c r="AO124" s="222"/>
      <c r="AP124" s="223"/>
      <c r="AR124" s="146">
        <v>750</v>
      </c>
      <c r="AS124" s="26">
        <v>750</v>
      </c>
      <c r="AU124" s="26">
        <f>AR124</f>
        <v>750</v>
      </c>
      <c r="AV124" s="246"/>
      <c r="AW124" s="31">
        <f>AU124+AV124</f>
        <v>750</v>
      </c>
      <c r="AX124" s="148">
        <f>IF(AU124=0," ",(AW124-AU124)/AU124)</f>
        <v>0</v>
      </c>
      <c r="AZ124" s="117">
        <v>750</v>
      </c>
      <c r="BA124" s="117">
        <v>750</v>
      </c>
      <c r="BB124" s="222"/>
      <c r="BC124" s="223"/>
      <c r="BD124" s="97"/>
      <c r="BE124" s="26">
        <v>750</v>
      </c>
      <c r="BF124" s="26"/>
      <c r="BG124" s="78"/>
      <c r="BH124" s="26">
        <v>750</v>
      </c>
      <c r="BI124" s="246">
        <v>-750</v>
      </c>
      <c r="BJ124" s="31">
        <f>BH124+BI124</f>
        <v>0</v>
      </c>
      <c r="BK124" s="148">
        <f>IF(BH124=0," ",(BJ124-BH124)/BH124)</f>
        <v>-1</v>
      </c>
      <c r="BM124" s="147">
        <v>0</v>
      </c>
      <c r="BN124" s="147">
        <v>0</v>
      </c>
      <c r="BO124" s="222"/>
      <c r="BP124" s="406"/>
      <c r="BR124" s="147">
        <v>0</v>
      </c>
      <c r="BS124" s="79"/>
      <c r="BT124" s="78"/>
      <c r="BU124" s="146">
        <v>0</v>
      </c>
      <c r="BV124" s="246"/>
      <c r="BW124" s="583">
        <f>BU124+BV124</f>
        <v>0</v>
      </c>
      <c r="BX124" s="584" t="str">
        <f>IF(BU124=0," ",(BW124-BU124)/BU124)</f>
        <v xml:space="preserve"> </v>
      </c>
      <c r="BY124" s="590"/>
      <c r="BZ124" s="585">
        <v>0</v>
      </c>
      <c r="CA124" s="585">
        <v>0</v>
      </c>
      <c r="CB124" s="598"/>
      <c r="CC124" s="766"/>
      <c r="CD124" s="590"/>
      <c r="CE124" s="585">
        <v>0</v>
      </c>
      <c r="CF124" s="585"/>
      <c r="CG124" s="78"/>
      <c r="CH124" s="814"/>
      <c r="CI124" s="814"/>
      <c r="CJ124" s="886"/>
      <c r="CK124" s="1"/>
      <c r="CO124" s="16"/>
    </row>
    <row r="125" spans="1:93" x14ac:dyDescent="0.3">
      <c r="H125" s="32">
        <f>SUM(H122:H124)</f>
        <v>86759</v>
      </c>
      <c r="I125" s="32">
        <f>SUM(I122:I124)</f>
        <v>3993</v>
      </c>
      <c r="J125" s="32">
        <f>SUM(J122:J124)</f>
        <v>90752</v>
      </c>
      <c r="K125" s="128">
        <f>IF(H125=0," ",(J125-H125)/H125)</f>
        <v>4.6024043615071633E-2</v>
      </c>
      <c r="M125" s="32">
        <f>SUM(M122:M124)</f>
        <v>96162</v>
      </c>
      <c r="N125" s="32">
        <f>SUM(N122:N124)</f>
        <v>96162</v>
      </c>
      <c r="P125" s="141">
        <f>SUM(P122:P124)</f>
        <v>0</v>
      </c>
      <c r="R125" s="145">
        <f>SUM(R122:R124)</f>
        <v>96162</v>
      </c>
      <c r="S125" s="32">
        <f>SUM(S122:S124)</f>
        <v>96162</v>
      </c>
      <c r="U125" s="32">
        <f>SUM(U122:U124)</f>
        <v>96162</v>
      </c>
      <c r="V125" s="32">
        <f>SUM(V122:V124)</f>
        <v>4590</v>
      </c>
      <c r="W125" s="32">
        <f>SUM(W122:W124)</f>
        <v>100752</v>
      </c>
      <c r="X125" s="128">
        <f>IF(U125=0," ",(W125-U125)/U125)</f>
        <v>4.7731952330442376E-2</v>
      </c>
      <c r="Z125" s="32">
        <f>SUM(Z122:Z124)</f>
        <v>100752</v>
      </c>
      <c r="AA125" s="32">
        <f>SUM(AA122:AA124)</f>
        <v>101502</v>
      </c>
      <c r="AC125" s="141"/>
      <c r="AE125" s="32">
        <f>SUM(AE122:AE124)</f>
        <v>101502</v>
      </c>
      <c r="AF125" s="202">
        <f>SUM(AF122:AF124)</f>
        <v>101514.32</v>
      </c>
      <c r="AH125" s="32">
        <v>101502</v>
      </c>
      <c r="AI125" s="32">
        <f>SUM(AI122:AI124)</f>
        <v>5757</v>
      </c>
      <c r="AJ125" s="32">
        <f>SUM(AJ122:AJ124)</f>
        <v>107259</v>
      </c>
      <c r="AK125" s="128">
        <f>IF(AH125=0," ",(AJ125-AH125)/AH125)</f>
        <v>5.6718094224744338E-2</v>
      </c>
      <c r="AM125" s="32">
        <f>SUM(AM122:AM124)</f>
        <v>107259</v>
      </c>
      <c r="AN125" s="32">
        <f>SUM(AN122:AN124)</f>
        <v>107259</v>
      </c>
      <c r="AP125" s="141"/>
      <c r="AR125" s="32">
        <f>SUM(AR122:AR124)</f>
        <v>107259</v>
      </c>
      <c r="AS125" s="32">
        <f>SUM(AS122:AS124)</f>
        <v>106042.04000000001</v>
      </c>
      <c r="AU125" s="32">
        <f>SUM(AU122:AU124)</f>
        <v>107259</v>
      </c>
      <c r="AV125" s="32">
        <f>SUM(AV122:AV124)</f>
        <v>4591</v>
      </c>
      <c r="AW125" s="32">
        <f>SUM(AW122:AW124)</f>
        <v>111850</v>
      </c>
      <c r="AX125" s="128">
        <f>IF(AU125=0," ",(AW125-AU125)/AU125)</f>
        <v>4.2802934951845534E-2</v>
      </c>
      <c r="AZ125" s="32">
        <f>SUM(AZ122:AZ124)</f>
        <v>111416</v>
      </c>
      <c r="BA125" s="32">
        <f>SUM(BA122:BA124)</f>
        <v>109667</v>
      </c>
      <c r="BC125" s="141"/>
      <c r="BE125" s="32">
        <f>SUM(BE122:BE124)</f>
        <v>109667</v>
      </c>
      <c r="BF125" s="32">
        <f>SUM(BF122:BF124)</f>
        <v>109045.01999999999</v>
      </c>
      <c r="BH125" s="32">
        <f>SUM(BH122:BH124)</f>
        <v>109667</v>
      </c>
      <c r="BI125" s="32">
        <f>SUM(BI122:BI124)</f>
        <v>1464</v>
      </c>
      <c r="BJ125" s="32">
        <f>SUM(BJ122:BJ124)</f>
        <v>111131</v>
      </c>
      <c r="BK125" s="128">
        <f>IF(BH125=0," ",(BJ125-BH125)/BH125)</f>
        <v>1.3349503496949857E-2</v>
      </c>
      <c r="BM125" s="32">
        <f>SUM(BM122:BM124)</f>
        <v>111131</v>
      </c>
      <c r="BN125" s="32">
        <f>SUM(BN122:BN124)</f>
        <v>111131</v>
      </c>
      <c r="BP125" s="141"/>
      <c r="BR125" s="32">
        <f>SUM(BR122:BR124)</f>
        <v>111131</v>
      </c>
      <c r="BS125" s="32">
        <f>SUM(BS122:BS124)</f>
        <v>49447.96</v>
      </c>
      <c r="BU125" s="32">
        <f>SUM(BU122:BU124)</f>
        <v>111131</v>
      </c>
      <c r="BV125" s="32">
        <f>SUM(BV122:BV124)</f>
        <v>1708</v>
      </c>
      <c r="BW125" s="595">
        <f>SUM(BW122:BW124)</f>
        <v>112839</v>
      </c>
      <c r="BX125" s="596">
        <f>IF(BU125=0," ",(BW125-BU125)/BU125)</f>
        <v>1.5369248904446103E-2</v>
      </c>
      <c r="BZ125" s="595">
        <f>SUM(BZ122:BZ124)</f>
        <v>112839</v>
      </c>
      <c r="CA125" s="595">
        <f>SUM(CA122:CA124)</f>
        <v>112839</v>
      </c>
      <c r="CC125" s="770"/>
      <c r="CE125" s="595">
        <f>SUM(CE122:CE124)</f>
        <v>112839</v>
      </c>
      <c r="CF125" s="595">
        <f>SUM(CF122:CF124)</f>
        <v>0</v>
      </c>
      <c r="CJ125" s="886"/>
      <c r="CK125" s="1"/>
      <c r="CO125" s="16"/>
    </row>
    <row r="126" spans="1:93" x14ac:dyDescent="0.3">
      <c r="R126" s="26"/>
      <c r="AS126" s="16"/>
      <c r="CJ126" s="886"/>
      <c r="CK126" s="1"/>
      <c r="CO126" s="16"/>
    </row>
    <row r="127" spans="1:93" s="19" customFormat="1" x14ac:dyDescent="0.3">
      <c r="A127" s="27"/>
      <c r="B127" s="8"/>
      <c r="C127" s="42"/>
      <c r="D127" s="42"/>
      <c r="E127" s="54"/>
      <c r="F127" s="8"/>
      <c r="G127" s="8" t="s">
        <v>142</v>
      </c>
      <c r="H127" s="28">
        <f>H120+H125</f>
        <v>180153</v>
      </c>
      <c r="I127" s="28">
        <f>I120+I125</f>
        <v>8070</v>
      </c>
      <c r="J127" s="28">
        <f>J120+J125</f>
        <v>188223</v>
      </c>
      <c r="K127" s="123">
        <f>IF(H127=0," ",(J127-H127)/H127)</f>
        <v>4.4795257364573446E-2</v>
      </c>
      <c r="M127" s="28">
        <f>M120+M125</f>
        <v>193633</v>
      </c>
      <c r="N127" s="28">
        <f>N120+N125</f>
        <v>193633</v>
      </c>
      <c r="P127" s="139">
        <f>P120+P125</f>
        <v>0</v>
      </c>
      <c r="R127" s="28">
        <f>R120+R125</f>
        <v>193633</v>
      </c>
      <c r="S127" s="28">
        <f>S120+S125</f>
        <v>193633</v>
      </c>
      <c r="U127" s="28">
        <f>U120+U125</f>
        <v>193633</v>
      </c>
      <c r="V127" s="28">
        <f>V120+V125</f>
        <v>9228</v>
      </c>
      <c r="W127" s="28">
        <f>W120+W125</f>
        <v>202861</v>
      </c>
      <c r="X127" s="123">
        <f>IF(U127=0," ",(W127-U127)/U127)</f>
        <v>4.7657165875651358E-2</v>
      </c>
      <c r="Z127" s="28">
        <f>Z120+Z125</f>
        <v>202861</v>
      </c>
      <c r="AA127" s="28">
        <f>AA120+AA125</f>
        <v>203611</v>
      </c>
      <c r="AC127" s="139"/>
      <c r="AE127" s="28">
        <f>AE120+AE125</f>
        <v>203611</v>
      </c>
      <c r="AF127" s="201">
        <f>AF120+AF125</f>
        <v>203623.12</v>
      </c>
      <c r="AH127" s="28">
        <v>203611</v>
      </c>
      <c r="AI127" s="28">
        <f>AI120+AI125</f>
        <v>11440</v>
      </c>
      <c r="AJ127" s="28">
        <f>AJ120+AJ125</f>
        <v>215051</v>
      </c>
      <c r="AK127" s="123">
        <f>IF(AH127=0," ",(AJ127-AH127)/AH127)</f>
        <v>5.6185569541920624E-2</v>
      </c>
      <c r="AM127" s="28">
        <f>AM120+AM125</f>
        <v>215051</v>
      </c>
      <c r="AN127" s="28">
        <f>AN120+AN125</f>
        <v>215051</v>
      </c>
      <c r="AP127" s="139"/>
      <c r="AR127" s="28">
        <f>AR120+AR125</f>
        <v>215051</v>
      </c>
      <c r="AS127" s="28">
        <f>AS120+AS125</f>
        <v>212266.48</v>
      </c>
      <c r="AU127" s="28">
        <f>AU120+AU125</f>
        <v>215051</v>
      </c>
      <c r="AV127" s="28">
        <f>AV120+AV125</f>
        <v>5292</v>
      </c>
      <c r="AW127" s="28">
        <f>AW120+AW125</f>
        <v>220343</v>
      </c>
      <c r="AX127" s="123">
        <f>IF(AU127=0," ",(AW127-AU127)/AU127)</f>
        <v>2.4608116214293353E-2</v>
      </c>
      <c r="AZ127" s="28">
        <f>AZ120+AZ125</f>
        <v>219491</v>
      </c>
      <c r="BA127" s="28">
        <f>BA120+BA125</f>
        <v>216030</v>
      </c>
      <c r="BC127" s="139"/>
      <c r="BE127" s="28">
        <f>BE120+BE125</f>
        <v>216030</v>
      </c>
      <c r="BF127" s="28">
        <f>BF120+BF125</f>
        <v>215611.5</v>
      </c>
      <c r="BG127" s="9"/>
      <c r="BH127" s="28">
        <f>BH120+BH125</f>
        <v>216030</v>
      </c>
      <c r="BI127" s="28">
        <f>BI120+BI125</f>
        <v>3594</v>
      </c>
      <c r="BJ127" s="28">
        <f>BJ120+BJ125</f>
        <v>219624</v>
      </c>
      <c r="BK127" s="123">
        <f>IF(BH127=0," ",(BJ127-BH127)/BH127)</f>
        <v>1.6636578253020413E-2</v>
      </c>
      <c r="BM127" s="28">
        <f>BM120+BM125</f>
        <v>219624</v>
      </c>
      <c r="BN127" s="28">
        <f>BN120+BN125</f>
        <v>219624</v>
      </c>
      <c r="BP127" s="139"/>
      <c r="BR127" s="28">
        <f>BR120+BR125</f>
        <v>219624</v>
      </c>
      <c r="BS127" s="28">
        <f>BS120+BS125</f>
        <v>97770.760000000009</v>
      </c>
      <c r="BT127" s="9"/>
      <c r="BU127" s="28">
        <f>BU120+BU125</f>
        <v>219624</v>
      </c>
      <c r="BV127" s="532">
        <f>BV120+BV125</f>
        <v>3879</v>
      </c>
      <c r="BW127" s="591">
        <f>BW120+BW125</f>
        <v>223503</v>
      </c>
      <c r="BX127" s="579">
        <f>IF(BU127=0," ",(BW127-BU127)/BU127)</f>
        <v>1.7662004152551633E-2</v>
      </c>
      <c r="BY127" s="580"/>
      <c r="BZ127" s="591">
        <f>BZ120+BZ125</f>
        <v>223503</v>
      </c>
      <c r="CA127" s="591">
        <f>CA120+CA125</f>
        <v>223503</v>
      </c>
      <c r="CB127" s="580"/>
      <c r="CC127" s="769"/>
      <c r="CD127" s="580"/>
      <c r="CE127" s="591">
        <f>CE120+CE125</f>
        <v>223503</v>
      </c>
      <c r="CF127" s="591">
        <f>CF120+CF125</f>
        <v>0</v>
      </c>
      <c r="CG127" s="9"/>
      <c r="CH127" s="815"/>
      <c r="CI127" s="815"/>
      <c r="CJ127" s="886"/>
      <c r="CK127" s="1"/>
      <c r="CO127" s="16"/>
    </row>
    <row r="128" spans="1:93" x14ac:dyDescent="0.3">
      <c r="H128" s="26"/>
      <c r="AS128" s="16"/>
      <c r="CJ128" s="886"/>
      <c r="CK128" s="1"/>
      <c r="CO128" s="16"/>
    </row>
    <row r="129" spans="1:93" x14ac:dyDescent="0.3">
      <c r="A129" s="11">
        <v>145</v>
      </c>
      <c r="B129" s="3" t="s">
        <v>2</v>
      </c>
      <c r="C129" s="37">
        <v>14505</v>
      </c>
      <c r="D129" s="37">
        <v>53010</v>
      </c>
      <c r="E129" s="49" t="s">
        <v>118</v>
      </c>
      <c r="F129" s="3" t="s">
        <v>2</v>
      </c>
      <c r="G129" s="3" t="s">
        <v>45</v>
      </c>
      <c r="H129" s="26">
        <v>10899</v>
      </c>
      <c r="I129" s="244"/>
      <c r="J129" s="16">
        <f>H129+I129</f>
        <v>10899</v>
      </c>
      <c r="K129" s="122">
        <f>IF(H129=0," ",(J129-H129)/H129)</f>
        <v>0</v>
      </c>
      <c r="M129" s="117">
        <v>10899</v>
      </c>
      <c r="N129" s="117">
        <v>10899</v>
      </c>
      <c r="P129" s="259"/>
      <c r="R129" s="26">
        <v>10899</v>
      </c>
      <c r="S129" s="26">
        <v>3456.26</v>
      </c>
      <c r="U129" s="26">
        <v>10899</v>
      </c>
      <c r="V129" s="244">
        <v>0</v>
      </c>
      <c r="W129" s="16">
        <f>U129+V129</f>
        <v>10899</v>
      </c>
      <c r="X129" s="122">
        <f>IF(U129=0," ",(W129-U129)/U129)</f>
        <v>0</v>
      </c>
      <c r="Z129" s="117">
        <v>10899</v>
      </c>
      <c r="AA129" s="117">
        <v>10899</v>
      </c>
      <c r="AC129" s="259"/>
      <c r="AE129" s="26">
        <v>10899</v>
      </c>
      <c r="AF129" s="200">
        <v>13590.5</v>
      </c>
      <c r="AH129" s="26">
        <v>10899</v>
      </c>
      <c r="AI129" s="244"/>
      <c r="AJ129" s="16">
        <f>AH129+AI129</f>
        <v>10899</v>
      </c>
      <c r="AK129" s="122">
        <f>IF(AH129=0," ",(AJ129-AH129)/AH129)</f>
        <v>0</v>
      </c>
      <c r="AM129" s="117">
        <v>10899</v>
      </c>
      <c r="AN129" s="117">
        <v>10899</v>
      </c>
      <c r="AP129" s="259"/>
      <c r="AR129" s="26">
        <v>10899</v>
      </c>
      <c r="AS129" s="26">
        <v>6321</v>
      </c>
      <c r="AU129" s="26">
        <f>AR129</f>
        <v>10899</v>
      </c>
      <c r="AV129" s="244"/>
      <c r="AW129" s="16">
        <f>AU129+AV129</f>
        <v>10899</v>
      </c>
      <c r="AX129" s="122">
        <f>IF(AU129=0," ",(AW129-AU129)/AU129)</f>
        <v>0</v>
      </c>
      <c r="AZ129" s="117">
        <v>10899</v>
      </c>
      <c r="BA129" s="117">
        <v>10899</v>
      </c>
      <c r="BC129" s="259"/>
      <c r="BE129" s="26">
        <v>10899</v>
      </c>
      <c r="BF129" s="26">
        <v>1132.27</v>
      </c>
      <c r="BH129" s="26">
        <v>10899</v>
      </c>
      <c r="BI129" s="244"/>
      <c r="BJ129" s="16">
        <f>BH129+BI129</f>
        <v>10899</v>
      </c>
      <c r="BK129" s="122">
        <f>IF(BH129=0," ",(BJ129-BH129)/BH129)</f>
        <v>0</v>
      </c>
      <c r="BM129" s="117">
        <v>10899</v>
      </c>
      <c r="BN129" s="117">
        <v>10899</v>
      </c>
      <c r="BP129" s="259"/>
      <c r="BR129" s="117">
        <v>10899</v>
      </c>
      <c r="BS129" s="26">
        <v>1847.67</v>
      </c>
      <c r="BU129" s="26">
        <v>10899</v>
      </c>
      <c r="BV129" s="244"/>
      <c r="BW129" s="576">
        <f>BU129+BV129</f>
        <v>10899</v>
      </c>
      <c r="BX129" s="577">
        <f>IF(BU129=0," ",(BW129-BU129)/BU129)</f>
        <v>0</v>
      </c>
      <c r="BZ129" s="166">
        <v>10899</v>
      </c>
      <c r="CA129" s="166">
        <v>10899</v>
      </c>
      <c r="CC129" s="753"/>
      <c r="CE129" s="166">
        <v>10899</v>
      </c>
      <c r="CF129" s="166"/>
      <c r="CJ129" s="886"/>
      <c r="CK129" s="1"/>
      <c r="CO129" s="16"/>
    </row>
    <row r="130" spans="1:93" x14ac:dyDescent="0.3">
      <c r="A130" s="11">
        <v>145</v>
      </c>
      <c r="C130" s="37">
        <v>14505</v>
      </c>
      <c r="D130" s="37">
        <v>53045</v>
      </c>
      <c r="E130" s="49" t="s">
        <v>118</v>
      </c>
      <c r="G130" s="3" t="s">
        <v>1105</v>
      </c>
      <c r="H130" s="26"/>
      <c r="I130" s="244"/>
      <c r="M130" s="117"/>
      <c r="N130" s="117"/>
      <c r="P130" s="259"/>
      <c r="R130" s="26"/>
      <c r="S130" s="26"/>
      <c r="U130" s="26"/>
      <c r="V130" s="244"/>
      <c r="Z130" s="117"/>
      <c r="AA130" s="117"/>
      <c r="AC130" s="259"/>
      <c r="AE130" s="26"/>
      <c r="AF130" s="200"/>
      <c r="AH130" s="26"/>
      <c r="AI130" s="244"/>
      <c r="AM130" s="117"/>
      <c r="AN130" s="117"/>
      <c r="AP130" s="259"/>
      <c r="AR130" s="26"/>
      <c r="AS130" s="26">
        <v>399.99</v>
      </c>
      <c r="AU130" s="26"/>
      <c r="AV130" s="244"/>
      <c r="AZ130" s="117"/>
      <c r="BA130" s="117"/>
      <c r="BC130" s="259"/>
      <c r="BE130" s="26"/>
      <c r="BF130" s="26"/>
      <c r="BH130" s="26"/>
      <c r="BI130" s="244"/>
      <c r="BM130" s="117"/>
      <c r="BN130" s="117"/>
      <c r="BP130" s="259"/>
      <c r="BR130" s="117"/>
      <c r="BS130" s="26"/>
      <c r="BU130" s="26"/>
      <c r="BV130" s="244"/>
      <c r="BW130" s="576">
        <f>BU130+BV130</f>
        <v>0</v>
      </c>
      <c r="BZ130" s="166">
        <v>0</v>
      </c>
      <c r="CA130" s="166">
        <v>0</v>
      </c>
      <c r="CC130" s="753"/>
      <c r="CE130" s="166">
        <v>0</v>
      </c>
      <c r="CF130" s="166"/>
      <c r="CJ130" s="886"/>
      <c r="CK130" s="1"/>
      <c r="CO130" s="16"/>
    </row>
    <row r="131" spans="1:93" x14ac:dyDescent="0.3">
      <c r="A131" s="11">
        <v>145</v>
      </c>
      <c r="B131" s="3" t="s">
        <v>2</v>
      </c>
      <c r="C131" s="37">
        <v>14505</v>
      </c>
      <c r="D131" s="37">
        <v>53141</v>
      </c>
      <c r="E131" s="49" t="s">
        <v>118</v>
      </c>
      <c r="F131" s="3" t="s">
        <v>2</v>
      </c>
      <c r="G131" s="3" t="s">
        <v>1582</v>
      </c>
      <c r="H131" s="26">
        <v>0</v>
      </c>
      <c r="I131" s="244"/>
      <c r="J131" s="16">
        <f>H131+I131</f>
        <v>0</v>
      </c>
      <c r="K131" s="122" t="str">
        <f>IF(H131=0," ",(J131-H131)/H131)</f>
        <v xml:space="preserve"> </v>
      </c>
      <c r="M131" s="117">
        <v>7000</v>
      </c>
      <c r="N131" s="117">
        <v>7000</v>
      </c>
      <c r="P131" s="259" t="s">
        <v>597</v>
      </c>
      <c r="R131" s="26">
        <v>7000</v>
      </c>
      <c r="S131" s="26">
        <v>7000</v>
      </c>
      <c r="U131" s="26">
        <v>7000</v>
      </c>
      <c r="V131" s="244">
        <v>-7000</v>
      </c>
      <c r="W131" s="16">
        <f>U131+V131</f>
        <v>0</v>
      </c>
      <c r="X131" s="122">
        <f>IF(U131=0," ",(W131-U131)/U131)</f>
        <v>-1</v>
      </c>
      <c r="Z131" s="117">
        <v>0</v>
      </c>
      <c r="AA131" s="117">
        <v>0</v>
      </c>
      <c r="AC131" s="259" t="s">
        <v>647</v>
      </c>
      <c r="AE131" s="26">
        <v>0</v>
      </c>
      <c r="AF131" s="200">
        <v>0</v>
      </c>
      <c r="AH131" s="26">
        <v>0</v>
      </c>
      <c r="AI131" s="244"/>
      <c r="AJ131" s="16">
        <f>AH131+AI131</f>
        <v>0</v>
      </c>
      <c r="AK131" s="122" t="str">
        <f>IF(AH131=0," ",(AJ131-AH131)/AH131)</f>
        <v xml:space="preserve"> </v>
      </c>
      <c r="AM131" s="117">
        <v>7650</v>
      </c>
      <c r="AN131" s="117">
        <v>7650</v>
      </c>
      <c r="AP131" s="266" t="s">
        <v>862</v>
      </c>
      <c r="AR131" s="26">
        <v>7650</v>
      </c>
      <c r="AS131" s="26">
        <v>0</v>
      </c>
      <c r="AU131" s="26">
        <f t="shared" ref="AU131:AU138" si="64">AR131</f>
        <v>7650</v>
      </c>
      <c r="AV131" s="244">
        <v>-7650</v>
      </c>
      <c r="AW131" s="16">
        <f>AU131+AV131</f>
        <v>0</v>
      </c>
      <c r="AX131" s="122">
        <f>IF(AU131=0," ",(AW131-AU131)/AU131)</f>
        <v>-1</v>
      </c>
      <c r="AZ131" s="117">
        <v>0</v>
      </c>
      <c r="BA131" s="117">
        <v>0</v>
      </c>
      <c r="BC131" s="282" t="s">
        <v>1043</v>
      </c>
      <c r="BE131" s="26">
        <v>0</v>
      </c>
      <c r="BF131" s="26"/>
      <c r="BH131" s="26">
        <v>0</v>
      </c>
      <c r="BI131" s="244"/>
      <c r="BJ131" s="16">
        <f>BH131+BI131</f>
        <v>0</v>
      </c>
      <c r="BK131" s="122" t="str">
        <f>IF(BH131=0," ",(BJ131-BH131)/BH131)</f>
        <v xml:space="preserve"> </v>
      </c>
      <c r="BM131" s="117">
        <v>0</v>
      </c>
      <c r="BN131" s="117">
        <v>0</v>
      </c>
      <c r="BP131" s="259" t="s">
        <v>1295</v>
      </c>
      <c r="BR131" s="117">
        <v>0</v>
      </c>
      <c r="BS131" s="26"/>
      <c r="BU131" s="26">
        <v>0</v>
      </c>
      <c r="BV131" s="244"/>
      <c r="BW131" s="576">
        <f>BU131+BV131</f>
        <v>0</v>
      </c>
      <c r="BX131" s="577" t="str">
        <f>IF(BU131=0," ",(BW131-BU131)/BU131)</f>
        <v xml:space="preserve"> </v>
      </c>
      <c r="BZ131" s="166">
        <v>0</v>
      </c>
      <c r="CA131" s="166">
        <v>8100</v>
      </c>
      <c r="CC131" s="430" t="s">
        <v>1368</v>
      </c>
      <c r="CE131" s="247">
        <v>8100</v>
      </c>
      <c r="CF131" s="166"/>
      <c r="CH131" s="813">
        <v>8100</v>
      </c>
      <c r="CJ131" s="886"/>
      <c r="CK131" s="1"/>
      <c r="CO131" s="16"/>
    </row>
    <row r="132" spans="1:93" x14ac:dyDescent="0.3">
      <c r="A132" s="11">
        <v>145</v>
      </c>
      <c r="B132" s="3" t="s">
        <v>2</v>
      </c>
      <c r="C132" s="37">
        <v>14505</v>
      </c>
      <c r="D132" s="37">
        <v>53430</v>
      </c>
      <c r="E132" s="49" t="s">
        <v>118</v>
      </c>
      <c r="F132" s="3" t="s">
        <v>2</v>
      </c>
      <c r="G132" s="3" t="s">
        <v>46</v>
      </c>
      <c r="H132" s="26">
        <v>17213</v>
      </c>
      <c r="I132" s="244"/>
      <c r="J132" s="16">
        <f>H132+I132</f>
        <v>17213</v>
      </c>
      <c r="K132" s="122">
        <f>IF(H132=0," ",(J132-H132)/H132)</f>
        <v>0</v>
      </c>
      <c r="M132" s="117">
        <v>17213</v>
      </c>
      <c r="N132" s="117">
        <v>17213</v>
      </c>
      <c r="P132" s="259"/>
      <c r="R132" s="26">
        <v>17213</v>
      </c>
      <c r="S132" s="26">
        <v>13083.92</v>
      </c>
      <c r="U132" s="26">
        <v>17213</v>
      </c>
      <c r="V132" s="244">
        <v>0</v>
      </c>
      <c r="W132" s="16">
        <f>U132+V132</f>
        <v>17213</v>
      </c>
      <c r="X132" s="122">
        <f>IF(U132=0," ",(W132-U132)/U132)</f>
        <v>0</v>
      </c>
      <c r="Z132" s="117">
        <v>17213</v>
      </c>
      <c r="AA132" s="117">
        <v>17213</v>
      </c>
      <c r="AC132" s="259"/>
      <c r="AE132" s="26">
        <v>17213</v>
      </c>
      <c r="AF132" s="200">
        <v>11703.08</v>
      </c>
      <c r="AH132" s="26">
        <v>17213</v>
      </c>
      <c r="AI132" s="244"/>
      <c r="AJ132" s="16">
        <f>AH132+AI132</f>
        <v>17213</v>
      </c>
      <c r="AK132" s="122">
        <f>IF(AH132=0," ",(AJ132-AH132)/AH132)</f>
        <v>0</v>
      </c>
      <c r="AM132" s="117">
        <v>17213</v>
      </c>
      <c r="AN132" s="117">
        <v>17213</v>
      </c>
      <c r="AP132" s="259"/>
      <c r="AR132" s="26">
        <v>17213</v>
      </c>
      <c r="AS132" s="26">
        <v>13824.06</v>
      </c>
      <c r="AU132" s="26">
        <f t="shared" si="64"/>
        <v>17213</v>
      </c>
      <c r="AV132" s="244"/>
      <c r="AW132" s="16">
        <f>AU132+AV132</f>
        <v>17213</v>
      </c>
      <c r="AX132" s="122">
        <f>IF(AU132=0," ",(AW132-AU132)/AU132)</f>
        <v>0</v>
      </c>
      <c r="AZ132" s="117">
        <v>17213</v>
      </c>
      <c r="BA132" s="117">
        <v>17213</v>
      </c>
      <c r="BC132" s="259"/>
      <c r="BE132" s="26">
        <v>17213</v>
      </c>
      <c r="BF132" s="26">
        <v>14244.61</v>
      </c>
      <c r="BH132" s="26">
        <v>17213</v>
      </c>
      <c r="BI132" s="244"/>
      <c r="BJ132" s="16">
        <f>BH132+BI132</f>
        <v>17213</v>
      </c>
      <c r="BK132" s="122">
        <f>IF(BH132=0," ",(BJ132-BH132)/BH132)</f>
        <v>0</v>
      </c>
      <c r="BM132" s="117">
        <v>17213</v>
      </c>
      <c r="BN132" s="117">
        <v>17213</v>
      </c>
      <c r="BP132" s="259"/>
      <c r="BR132" s="117">
        <v>17213</v>
      </c>
      <c r="BS132" s="26">
        <v>7452.08</v>
      </c>
      <c r="BU132" s="26">
        <v>17213</v>
      </c>
      <c r="BV132" s="244"/>
      <c r="BW132" s="576">
        <f>BU132+BV132</f>
        <v>17213</v>
      </c>
      <c r="BX132" s="577">
        <f>IF(BU132=0," ",(BW132-BU132)/BU132)</f>
        <v>0</v>
      </c>
      <c r="BZ132" s="166">
        <v>17213</v>
      </c>
      <c r="CA132" s="166">
        <v>17213</v>
      </c>
      <c r="CC132" s="753"/>
      <c r="CE132" s="166">
        <v>17213</v>
      </c>
      <c r="CF132" s="166"/>
      <c r="CJ132" s="886"/>
      <c r="CK132" s="1"/>
      <c r="CO132" s="16"/>
    </row>
    <row r="133" spans="1:93" x14ac:dyDescent="0.3">
      <c r="A133" s="11">
        <v>145</v>
      </c>
      <c r="B133" s="3" t="s">
        <v>2</v>
      </c>
      <c r="C133" s="37">
        <v>14505</v>
      </c>
      <c r="D133" s="37">
        <v>53800</v>
      </c>
      <c r="E133" s="49" t="s">
        <v>118</v>
      </c>
      <c r="F133" s="3" t="s">
        <v>2</v>
      </c>
      <c r="G133" s="3" t="s">
        <v>47</v>
      </c>
      <c r="H133" s="26">
        <v>10229</v>
      </c>
      <c r="I133" s="244">
        <v>231</v>
      </c>
      <c r="J133" s="16">
        <f>H133+I133</f>
        <v>10460</v>
      </c>
      <c r="K133" s="122">
        <f t="shared" ref="K133:K141" si="65">IF(H133=0," ",(J133-H133)/H133)</f>
        <v>2.2582852673770651E-2</v>
      </c>
      <c r="M133" s="117">
        <v>10460</v>
      </c>
      <c r="N133" s="117">
        <v>10460</v>
      </c>
      <c r="P133" s="259"/>
      <c r="R133" s="26">
        <v>10460</v>
      </c>
      <c r="S133" s="26">
        <v>9345</v>
      </c>
      <c r="U133" s="26">
        <v>10460</v>
      </c>
      <c r="V133" s="244">
        <v>0</v>
      </c>
      <c r="W133" s="16">
        <f>U133+V133</f>
        <v>10460</v>
      </c>
      <c r="X133" s="122">
        <f t="shared" ref="X133:X141" si="66">IF(U133=0," ",(W133-U133)/U133)</f>
        <v>0</v>
      </c>
      <c r="Z133" s="117">
        <v>10460</v>
      </c>
      <c r="AA133" s="117">
        <v>10460</v>
      </c>
      <c r="AC133" s="259"/>
      <c r="AE133" s="26">
        <v>10460</v>
      </c>
      <c r="AF133" s="200">
        <v>9621.5</v>
      </c>
      <c r="AH133" s="26">
        <v>10460</v>
      </c>
      <c r="AI133" s="244"/>
      <c r="AJ133" s="16">
        <f>AH133+AI133</f>
        <v>10460</v>
      </c>
      <c r="AK133" s="122">
        <f t="shared" ref="AK133:AK141" si="67">IF(AH133=0," ",(AJ133-AH133)/AH133)</f>
        <v>0</v>
      </c>
      <c r="AM133" s="117">
        <v>10460</v>
      </c>
      <c r="AN133" s="117">
        <v>10460</v>
      </c>
      <c r="AP133" s="259"/>
      <c r="AR133" s="26">
        <v>10460</v>
      </c>
      <c r="AS133" s="26">
        <v>8787</v>
      </c>
      <c r="AU133" s="26">
        <f t="shared" si="64"/>
        <v>10460</v>
      </c>
      <c r="AV133" s="244"/>
      <c r="AW133" s="16">
        <f>AU133+AV133</f>
        <v>10460</v>
      </c>
      <c r="AX133" s="122">
        <f t="shared" ref="AX133:AX141" si="68">IF(AU133=0," ",(AW133-AU133)/AU133)</f>
        <v>0</v>
      </c>
      <c r="AZ133" s="117">
        <v>10460</v>
      </c>
      <c r="BA133" s="117">
        <v>10460</v>
      </c>
      <c r="BC133" s="259"/>
      <c r="BE133" s="26">
        <v>10460</v>
      </c>
      <c r="BF133" s="26">
        <v>8385.5</v>
      </c>
      <c r="BH133" s="26">
        <v>10460</v>
      </c>
      <c r="BI133" s="244"/>
      <c r="BJ133" s="16">
        <f>BH133+BI133</f>
        <v>10460</v>
      </c>
      <c r="BK133" s="122">
        <f t="shared" ref="BK133:BK141" si="69">IF(BH133=0," ",(BJ133-BH133)/BH133)</f>
        <v>0</v>
      </c>
      <c r="BM133" s="117">
        <v>10460</v>
      </c>
      <c r="BN133" s="117">
        <v>10460</v>
      </c>
      <c r="BP133" s="259"/>
      <c r="BR133" s="117">
        <v>10460</v>
      </c>
      <c r="BS133" s="26">
        <v>3986</v>
      </c>
      <c r="BU133" s="26">
        <v>10460</v>
      </c>
      <c r="BV133" s="244"/>
      <c r="BW133" s="576">
        <f>BU133+BV133</f>
        <v>10460</v>
      </c>
      <c r="BX133" s="577">
        <f t="shared" ref="BX133:BX138" si="70">IF(BU133=0," ",(BW133-BU133)/BU133)</f>
        <v>0</v>
      </c>
      <c r="BZ133" s="166">
        <v>10460</v>
      </c>
      <c r="CA133" s="166">
        <v>10460</v>
      </c>
      <c r="CC133" s="753"/>
      <c r="CE133" s="166">
        <v>10460</v>
      </c>
      <c r="CF133" s="166"/>
      <c r="CJ133" s="886"/>
      <c r="CK133" s="1"/>
      <c r="CO133" s="16"/>
    </row>
    <row r="134" spans="1:93" x14ac:dyDescent="0.3">
      <c r="A134" s="11">
        <v>145</v>
      </c>
      <c r="B134" s="3" t="s">
        <v>2</v>
      </c>
      <c r="C134" s="37">
        <v>14505</v>
      </c>
      <c r="D134" s="37">
        <v>53801</v>
      </c>
      <c r="E134" s="49" t="s">
        <v>118</v>
      </c>
      <c r="F134" s="3" t="s">
        <v>2</v>
      </c>
      <c r="G134" s="3" t="s">
        <v>48</v>
      </c>
      <c r="H134" s="26">
        <v>3476</v>
      </c>
      <c r="I134" s="244">
        <v>49</v>
      </c>
      <c r="J134" s="16">
        <f t="shared" ref="J134:J141" si="71">H134+I134</f>
        <v>3525</v>
      </c>
      <c r="K134" s="122">
        <f t="shared" si="65"/>
        <v>1.4096662830840045E-2</v>
      </c>
      <c r="M134" s="117">
        <v>3525</v>
      </c>
      <c r="N134" s="117">
        <v>3525</v>
      </c>
      <c r="P134" s="259"/>
      <c r="R134" s="26">
        <v>3525</v>
      </c>
      <c r="S134" s="26">
        <v>2607.86</v>
      </c>
      <c r="U134" s="26">
        <v>3525</v>
      </c>
      <c r="V134" s="244">
        <v>0</v>
      </c>
      <c r="W134" s="16">
        <f t="shared" ref="W134:W141" si="72">U134+V134</f>
        <v>3525</v>
      </c>
      <c r="X134" s="122">
        <f t="shared" si="66"/>
        <v>0</v>
      </c>
      <c r="Z134" s="117">
        <v>3525</v>
      </c>
      <c r="AA134" s="117">
        <v>3525</v>
      </c>
      <c r="AC134" s="259"/>
      <c r="AE134" s="26">
        <v>3525</v>
      </c>
      <c r="AF134" s="200">
        <v>2011.7</v>
      </c>
      <c r="AH134" s="26">
        <v>3525</v>
      </c>
      <c r="AI134" s="244">
        <v>-500</v>
      </c>
      <c r="AJ134" s="16">
        <f t="shared" ref="AJ134:AJ141" si="73">AH134+AI134</f>
        <v>3025</v>
      </c>
      <c r="AK134" s="122">
        <f t="shared" si="67"/>
        <v>-0.14184397163120568</v>
      </c>
      <c r="AM134" s="117">
        <v>3025</v>
      </c>
      <c r="AN134" s="117">
        <v>3025</v>
      </c>
      <c r="AP134" s="259"/>
      <c r="AR134" s="26">
        <v>3025</v>
      </c>
      <c r="AS134" s="26">
        <v>2033.55</v>
      </c>
      <c r="AU134" s="26">
        <f t="shared" si="64"/>
        <v>3025</v>
      </c>
      <c r="AV134" s="244"/>
      <c r="AW134" s="16">
        <f t="shared" ref="AW134:AW141" si="74">AU134+AV134</f>
        <v>3025</v>
      </c>
      <c r="AX134" s="122">
        <f t="shared" si="68"/>
        <v>0</v>
      </c>
      <c r="AZ134" s="117">
        <v>3025</v>
      </c>
      <c r="BA134" s="117">
        <v>3025</v>
      </c>
      <c r="BC134" s="259"/>
      <c r="BE134" s="26">
        <v>3025</v>
      </c>
      <c r="BF134" s="26">
        <v>2189.08</v>
      </c>
      <c r="BH134" s="26">
        <v>3025</v>
      </c>
      <c r="BI134" s="244"/>
      <c r="BJ134" s="16">
        <f t="shared" ref="BJ134:BJ141" si="75">BH134+BI134</f>
        <v>3025</v>
      </c>
      <c r="BK134" s="122">
        <f t="shared" si="69"/>
        <v>0</v>
      </c>
      <c r="BM134" s="117">
        <v>3025</v>
      </c>
      <c r="BN134" s="117">
        <v>3025</v>
      </c>
      <c r="BP134" s="259"/>
      <c r="BR134" s="117">
        <v>3025</v>
      </c>
      <c r="BS134" s="26">
        <v>843.61</v>
      </c>
      <c r="BU134" s="26">
        <v>3025</v>
      </c>
      <c r="BV134" s="244"/>
      <c r="BW134" s="576">
        <f t="shared" ref="BW134:BW138" si="76">BU134+BV134</f>
        <v>3025</v>
      </c>
      <c r="BX134" s="577">
        <f t="shared" si="70"/>
        <v>0</v>
      </c>
      <c r="BZ134" s="166">
        <v>3025</v>
      </c>
      <c r="CA134" s="166">
        <v>3025</v>
      </c>
      <c r="CC134" s="753"/>
      <c r="CE134" s="166">
        <v>3025</v>
      </c>
      <c r="CF134" s="166"/>
      <c r="CJ134" s="886"/>
      <c r="CK134" s="1"/>
      <c r="CO134" s="16"/>
    </row>
    <row r="135" spans="1:93" x14ac:dyDescent="0.3">
      <c r="A135" s="11">
        <v>145</v>
      </c>
      <c r="B135" s="3" t="s">
        <v>2</v>
      </c>
      <c r="C135" s="37">
        <v>14505</v>
      </c>
      <c r="D135" s="37">
        <v>54200</v>
      </c>
      <c r="E135" s="49" t="s">
        <v>118</v>
      </c>
      <c r="F135" s="3" t="s">
        <v>2</v>
      </c>
      <c r="G135" s="3" t="s">
        <v>49</v>
      </c>
      <c r="H135" s="26">
        <v>1022</v>
      </c>
      <c r="I135" s="244">
        <v>253</v>
      </c>
      <c r="J135" s="16">
        <f t="shared" si="71"/>
        <v>1275</v>
      </c>
      <c r="K135" s="122">
        <f t="shared" si="65"/>
        <v>0.24755381604696672</v>
      </c>
      <c r="M135" s="117">
        <v>1275</v>
      </c>
      <c r="N135" s="117">
        <v>1275</v>
      </c>
      <c r="P135" s="259"/>
      <c r="R135" s="26">
        <v>1275</v>
      </c>
      <c r="S135" s="26">
        <v>3147.82</v>
      </c>
      <c r="U135" s="26">
        <v>1275</v>
      </c>
      <c r="V135" s="244">
        <v>0</v>
      </c>
      <c r="W135" s="16">
        <f t="shared" si="72"/>
        <v>1275</v>
      </c>
      <c r="X135" s="122">
        <f t="shared" si="66"/>
        <v>0</v>
      </c>
      <c r="Z135" s="117">
        <v>1275</v>
      </c>
      <c r="AA135" s="117">
        <v>1275</v>
      </c>
      <c r="AC135" s="259"/>
      <c r="AE135" s="26">
        <v>1275</v>
      </c>
      <c r="AF135" s="200">
        <v>1426.41</v>
      </c>
      <c r="AH135" s="26">
        <v>1275</v>
      </c>
      <c r="AI135" s="244">
        <v>1500</v>
      </c>
      <c r="AJ135" s="16">
        <f t="shared" si="73"/>
        <v>2775</v>
      </c>
      <c r="AK135" s="122">
        <f t="shared" si="67"/>
        <v>1.1764705882352942</v>
      </c>
      <c r="AM135" s="117">
        <v>2775</v>
      </c>
      <c r="AN135" s="117">
        <v>2775</v>
      </c>
      <c r="AP135" s="259"/>
      <c r="AR135" s="26">
        <v>2775</v>
      </c>
      <c r="AS135" s="26">
        <v>2384.4699999999998</v>
      </c>
      <c r="AU135" s="26">
        <f t="shared" si="64"/>
        <v>2775</v>
      </c>
      <c r="AV135" s="244"/>
      <c r="AW135" s="16">
        <f t="shared" si="74"/>
        <v>2775</v>
      </c>
      <c r="AX135" s="122">
        <f t="shared" si="68"/>
        <v>0</v>
      </c>
      <c r="AZ135" s="117">
        <v>2775</v>
      </c>
      <c r="BA135" s="117">
        <v>2775</v>
      </c>
      <c r="BC135" s="259"/>
      <c r="BE135" s="26">
        <v>2775</v>
      </c>
      <c r="BF135" s="26">
        <v>1223</v>
      </c>
      <c r="BH135" s="26">
        <v>2775</v>
      </c>
      <c r="BI135" s="244"/>
      <c r="BJ135" s="16">
        <f t="shared" si="75"/>
        <v>2775</v>
      </c>
      <c r="BK135" s="122">
        <f t="shared" si="69"/>
        <v>0</v>
      </c>
      <c r="BM135" s="117">
        <v>2775</v>
      </c>
      <c r="BN135" s="117">
        <v>2775</v>
      </c>
      <c r="BP135" s="259"/>
      <c r="BR135" s="117">
        <v>2775</v>
      </c>
      <c r="BS135" s="26">
        <v>632.69000000000005</v>
      </c>
      <c r="BU135" s="26">
        <v>2775</v>
      </c>
      <c r="BV135" s="244"/>
      <c r="BW135" s="576">
        <f t="shared" si="76"/>
        <v>2775</v>
      </c>
      <c r="BX135" s="577">
        <f t="shared" si="70"/>
        <v>0</v>
      </c>
      <c r="BZ135" s="166">
        <v>2775</v>
      </c>
      <c r="CA135" s="166">
        <v>2775</v>
      </c>
      <c r="CC135" s="753"/>
      <c r="CE135" s="166">
        <v>2775</v>
      </c>
      <c r="CF135" s="166"/>
      <c r="CJ135" s="886"/>
      <c r="CK135" s="1"/>
      <c r="CO135" s="16"/>
    </row>
    <row r="136" spans="1:93" x14ac:dyDescent="0.3">
      <c r="A136" s="11">
        <v>145</v>
      </c>
      <c r="B136" s="3" t="s">
        <v>2</v>
      </c>
      <c r="C136" s="37">
        <v>14505</v>
      </c>
      <c r="D136" s="37">
        <v>54210</v>
      </c>
      <c r="E136" s="49" t="s">
        <v>118</v>
      </c>
      <c r="F136" s="3" t="s">
        <v>2</v>
      </c>
      <c r="G136" s="3" t="s">
        <v>50</v>
      </c>
      <c r="H136" s="26">
        <v>4364</v>
      </c>
      <c r="I136" s="244">
        <v>86</v>
      </c>
      <c r="J136" s="16">
        <f t="shared" si="71"/>
        <v>4450</v>
      </c>
      <c r="K136" s="122">
        <f t="shared" si="65"/>
        <v>1.9706691109074245E-2</v>
      </c>
      <c r="M136" s="117">
        <v>4450</v>
      </c>
      <c r="N136" s="117">
        <v>4450</v>
      </c>
      <c r="P136" s="259"/>
      <c r="R136" s="26">
        <v>4450</v>
      </c>
      <c r="S136" s="26">
        <v>3066.28</v>
      </c>
      <c r="U136" s="26">
        <v>4450</v>
      </c>
      <c r="V136" s="244">
        <v>0</v>
      </c>
      <c r="W136" s="16">
        <f t="shared" si="72"/>
        <v>4450</v>
      </c>
      <c r="X136" s="122">
        <f t="shared" si="66"/>
        <v>0</v>
      </c>
      <c r="Z136" s="117">
        <v>4450</v>
      </c>
      <c r="AA136" s="117">
        <v>4450</v>
      </c>
      <c r="AC136" s="259"/>
      <c r="AE136" s="26">
        <v>4450</v>
      </c>
      <c r="AF136" s="200">
        <v>4237.92</v>
      </c>
      <c r="AH136" s="26">
        <v>4450</v>
      </c>
      <c r="AI136" s="244">
        <v>-1000</v>
      </c>
      <c r="AJ136" s="16">
        <f t="shared" si="73"/>
        <v>3450</v>
      </c>
      <c r="AK136" s="122">
        <f t="shared" si="67"/>
        <v>-0.2247191011235955</v>
      </c>
      <c r="AM136" s="117">
        <v>3450</v>
      </c>
      <c r="AN136" s="117">
        <v>3450</v>
      </c>
      <c r="AP136" s="259"/>
      <c r="AR136" s="26">
        <v>3450</v>
      </c>
      <c r="AS136" s="26">
        <v>3276.62</v>
      </c>
      <c r="AU136" s="26">
        <f t="shared" si="64"/>
        <v>3450</v>
      </c>
      <c r="AV136" s="244"/>
      <c r="AW136" s="16">
        <f t="shared" si="74"/>
        <v>3450</v>
      </c>
      <c r="AX136" s="122">
        <f t="shared" si="68"/>
        <v>0</v>
      </c>
      <c r="AZ136" s="117">
        <v>3450</v>
      </c>
      <c r="BA136" s="117">
        <v>3450</v>
      </c>
      <c r="BC136" s="259"/>
      <c r="BE136" s="26">
        <v>3450</v>
      </c>
      <c r="BF136" s="26">
        <v>391.5</v>
      </c>
      <c r="BH136" s="26">
        <v>3450</v>
      </c>
      <c r="BI136" s="244"/>
      <c r="BJ136" s="16">
        <f t="shared" si="75"/>
        <v>3450</v>
      </c>
      <c r="BK136" s="122">
        <f t="shared" si="69"/>
        <v>0</v>
      </c>
      <c r="BM136" s="117">
        <v>3450</v>
      </c>
      <c r="BN136" s="117">
        <v>3450</v>
      </c>
      <c r="BP136" s="259"/>
      <c r="BR136" s="117">
        <v>3450</v>
      </c>
      <c r="BS136" s="26">
        <v>437.62</v>
      </c>
      <c r="BU136" s="26">
        <v>3450</v>
      </c>
      <c r="BV136" s="244"/>
      <c r="BW136" s="576">
        <f t="shared" si="76"/>
        <v>3450</v>
      </c>
      <c r="BX136" s="577">
        <f t="shared" si="70"/>
        <v>0</v>
      </c>
      <c r="BZ136" s="166">
        <v>3450</v>
      </c>
      <c r="CA136" s="166">
        <v>3450</v>
      </c>
      <c r="CC136" s="753"/>
      <c r="CE136" s="166">
        <v>3450</v>
      </c>
      <c r="CF136" s="166"/>
      <c r="CJ136" s="886"/>
      <c r="CK136" s="1"/>
      <c r="CO136" s="16"/>
    </row>
    <row r="137" spans="1:93" x14ac:dyDescent="0.3">
      <c r="A137" s="11">
        <v>145</v>
      </c>
      <c r="B137" s="3" t="s">
        <v>2</v>
      </c>
      <c r="C137" s="37">
        <v>14505</v>
      </c>
      <c r="D137" s="37">
        <v>57100</v>
      </c>
      <c r="E137" s="49" t="s">
        <v>118</v>
      </c>
      <c r="F137" s="3" t="s">
        <v>2</v>
      </c>
      <c r="G137" s="3" t="s">
        <v>106</v>
      </c>
      <c r="H137" s="26">
        <v>1590</v>
      </c>
      <c r="I137" s="244">
        <v>375</v>
      </c>
      <c r="J137" s="16">
        <f t="shared" si="71"/>
        <v>1965</v>
      </c>
      <c r="K137" s="122">
        <f t="shared" si="65"/>
        <v>0.23584905660377359</v>
      </c>
      <c r="M137" s="117">
        <v>1965</v>
      </c>
      <c r="N137" s="117">
        <v>1965</v>
      </c>
      <c r="P137" s="259"/>
      <c r="R137" s="26">
        <v>1965</v>
      </c>
      <c r="S137" s="26">
        <v>1692.5</v>
      </c>
      <c r="U137" s="26">
        <v>1965</v>
      </c>
      <c r="V137" s="244">
        <v>0</v>
      </c>
      <c r="W137" s="16">
        <f t="shared" si="72"/>
        <v>1965</v>
      </c>
      <c r="X137" s="122">
        <f t="shared" si="66"/>
        <v>0</v>
      </c>
      <c r="Z137" s="117">
        <v>1965</v>
      </c>
      <c r="AA137" s="117">
        <v>1965</v>
      </c>
      <c r="AC137" s="259"/>
      <c r="AE137" s="26">
        <v>1965</v>
      </c>
      <c r="AF137" s="200">
        <v>1510.74</v>
      </c>
      <c r="AH137" s="26">
        <v>1965</v>
      </c>
      <c r="AI137" s="244"/>
      <c r="AJ137" s="16">
        <f t="shared" si="73"/>
        <v>1965</v>
      </c>
      <c r="AK137" s="122">
        <f t="shared" si="67"/>
        <v>0</v>
      </c>
      <c r="AM137" s="117">
        <v>1965</v>
      </c>
      <c r="AN137" s="117">
        <v>1965</v>
      </c>
      <c r="AP137" s="259"/>
      <c r="AR137" s="26">
        <v>1965</v>
      </c>
      <c r="AS137" s="26">
        <v>1852.54</v>
      </c>
      <c r="AU137" s="26">
        <f t="shared" si="64"/>
        <v>1965</v>
      </c>
      <c r="AV137" s="244"/>
      <c r="AW137" s="16">
        <f t="shared" si="74"/>
        <v>1965</v>
      </c>
      <c r="AX137" s="122">
        <f t="shared" si="68"/>
        <v>0</v>
      </c>
      <c r="AZ137" s="117">
        <v>1965</v>
      </c>
      <c r="BA137" s="117">
        <v>1965</v>
      </c>
      <c r="BC137" s="259"/>
      <c r="BE137" s="26">
        <v>1965</v>
      </c>
      <c r="BF137" s="26">
        <v>80</v>
      </c>
      <c r="BH137" s="26">
        <v>1965</v>
      </c>
      <c r="BI137" s="244"/>
      <c r="BJ137" s="16">
        <f t="shared" si="75"/>
        <v>1965</v>
      </c>
      <c r="BK137" s="122">
        <f t="shared" si="69"/>
        <v>0</v>
      </c>
      <c r="BM137" s="117">
        <v>1965</v>
      </c>
      <c r="BN137" s="117">
        <v>1965</v>
      </c>
      <c r="BP137" s="259"/>
      <c r="BR137" s="117">
        <v>1965</v>
      </c>
      <c r="BS137" s="26">
        <v>20</v>
      </c>
      <c r="BU137" s="26">
        <v>1965</v>
      </c>
      <c r="BV137" s="244"/>
      <c r="BW137" s="576">
        <f t="shared" si="76"/>
        <v>1965</v>
      </c>
      <c r="BX137" s="577">
        <f t="shared" si="70"/>
        <v>0</v>
      </c>
      <c r="BZ137" s="166">
        <v>1965</v>
      </c>
      <c r="CA137" s="166">
        <v>1965</v>
      </c>
      <c r="CC137" s="753"/>
      <c r="CE137" s="166">
        <v>1965</v>
      </c>
      <c r="CF137" s="166"/>
      <c r="CJ137" s="886"/>
      <c r="CK137" s="1"/>
      <c r="CO137" s="16"/>
    </row>
    <row r="138" spans="1:93" x14ac:dyDescent="0.3">
      <c r="A138" s="11">
        <v>145</v>
      </c>
      <c r="B138" s="3" t="s">
        <v>2</v>
      </c>
      <c r="C138" s="37">
        <v>14505</v>
      </c>
      <c r="D138" s="37">
        <v>57300</v>
      </c>
      <c r="E138" s="49" t="s">
        <v>118</v>
      </c>
      <c r="F138" s="3" t="s">
        <v>2</v>
      </c>
      <c r="G138" s="3" t="s">
        <v>51</v>
      </c>
      <c r="H138" s="26">
        <v>312</v>
      </c>
      <c r="I138" s="244">
        <v>28</v>
      </c>
      <c r="J138" s="16">
        <f t="shared" si="71"/>
        <v>340</v>
      </c>
      <c r="K138" s="122">
        <f t="shared" si="65"/>
        <v>8.9743589743589744E-2</v>
      </c>
      <c r="M138" s="117">
        <v>340</v>
      </c>
      <c r="N138" s="117">
        <v>340</v>
      </c>
      <c r="P138" s="259"/>
      <c r="R138" s="26">
        <v>340</v>
      </c>
      <c r="S138" s="26">
        <v>371.86</v>
      </c>
      <c r="U138" s="26">
        <v>340</v>
      </c>
      <c r="V138" s="244">
        <v>0</v>
      </c>
      <c r="W138" s="16">
        <f t="shared" si="72"/>
        <v>340</v>
      </c>
      <c r="X138" s="122">
        <f t="shared" si="66"/>
        <v>0</v>
      </c>
      <c r="Z138" s="117">
        <v>340</v>
      </c>
      <c r="AA138" s="117">
        <v>340</v>
      </c>
      <c r="AC138" s="259"/>
      <c r="AE138" s="26">
        <v>340</v>
      </c>
      <c r="AF138" s="200">
        <v>505.64</v>
      </c>
      <c r="AH138" s="26">
        <v>340</v>
      </c>
      <c r="AI138" s="244"/>
      <c r="AJ138" s="16">
        <f t="shared" si="73"/>
        <v>340</v>
      </c>
      <c r="AK138" s="122">
        <f t="shared" si="67"/>
        <v>0</v>
      </c>
      <c r="AM138" s="117">
        <v>340</v>
      </c>
      <c r="AN138" s="117">
        <v>340</v>
      </c>
      <c r="AP138" s="259"/>
      <c r="AR138" s="26">
        <v>340</v>
      </c>
      <c r="AS138" s="26">
        <v>330</v>
      </c>
      <c r="AU138" s="26">
        <f t="shared" si="64"/>
        <v>340</v>
      </c>
      <c r="AV138" s="244"/>
      <c r="AW138" s="16">
        <f t="shared" si="74"/>
        <v>340</v>
      </c>
      <c r="AX138" s="122">
        <f t="shared" si="68"/>
        <v>0</v>
      </c>
      <c r="AZ138" s="117">
        <v>340</v>
      </c>
      <c r="BA138" s="117">
        <v>340</v>
      </c>
      <c r="BC138" s="259"/>
      <c r="BE138" s="26">
        <v>340</v>
      </c>
      <c r="BF138" s="26">
        <v>300</v>
      </c>
      <c r="BH138" s="26">
        <v>340</v>
      </c>
      <c r="BI138" s="244"/>
      <c r="BJ138" s="16">
        <f t="shared" si="75"/>
        <v>340</v>
      </c>
      <c r="BK138" s="122">
        <f t="shared" si="69"/>
        <v>0</v>
      </c>
      <c r="BM138" s="117">
        <v>340</v>
      </c>
      <c r="BN138" s="117">
        <v>340</v>
      </c>
      <c r="BP138" s="259"/>
      <c r="BR138" s="117">
        <v>340</v>
      </c>
      <c r="BS138" s="26">
        <v>300</v>
      </c>
      <c r="BU138" s="26">
        <v>340</v>
      </c>
      <c r="BV138" s="244"/>
      <c r="BW138" s="576">
        <f t="shared" si="76"/>
        <v>340</v>
      </c>
      <c r="BX138" s="577">
        <f t="shared" si="70"/>
        <v>0</v>
      </c>
      <c r="BZ138" s="166">
        <v>340</v>
      </c>
      <c r="CA138" s="166">
        <v>340</v>
      </c>
      <c r="CC138" s="753"/>
      <c r="CE138" s="166">
        <v>340</v>
      </c>
      <c r="CF138" s="166"/>
      <c r="CJ138" s="886"/>
      <c r="CK138" s="1"/>
      <c r="CO138" s="16"/>
    </row>
    <row r="139" spans="1:93" x14ac:dyDescent="0.3">
      <c r="A139" s="11">
        <v>145</v>
      </c>
      <c r="B139" s="3" t="s">
        <v>2</v>
      </c>
      <c r="C139" s="37">
        <v>14505</v>
      </c>
      <c r="D139" s="37">
        <v>57600</v>
      </c>
      <c r="E139" s="49" t="s">
        <v>118</v>
      </c>
      <c r="F139" s="3" t="s">
        <v>2</v>
      </c>
      <c r="G139" s="3" t="s">
        <v>1111</v>
      </c>
      <c r="H139" s="26"/>
      <c r="I139" s="244"/>
      <c r="M139" s="117"/>
      <c r="N139" s="117"/>
      <c r="P139" s="259"/>
      <c r="R139" s="26"/>
      <c r="S139" s="26"/>
      <c r="U139" s="26"/>
      <c r="V139" s="244"/>
      <c r="Z139" s="117"/>
      <c r="AA139" s="117"/>
      <c r="AC139" s="259"/>
      <c r="AE139" s="26"/>
      <c r="AF139" s="200"/>
      <c r="AH139" s="26"/>
      <c r="AI139" s="244"/>
      <c r="AM139" s="117"/>
      <c r="AN139" s="117"/>
      <c r="AP139" s="259"/>
      <c r="AR139" s="26"/>
      <c r="AS139" s="26"/>
      <c r="AU139" s="26"/>
      <c r="AV139" s="244"/>
      <c r="AW139" s="16">
        <f>AU139+AV139</f>
        <v>0</v>
      </c>
      <c r="AX139" s="122" t="str">
        <f>IF(AU139=0," ",(AW139-AU139)/AU139)</f>
        <v xml:space="preserve"> </v>
      </c>
      <c r="AZ139" s="117"/>
      <c r="BA139" s="117"/>
      <c r="BC139" s="259"/>
      <c r="BE139" s="26"/>
      <c r="BF139" s="26">
        <v>10305.49</v>
      </c>
      <c r="BH139" s="26"/>
      <c r="BI139" s="244"/>
      <c r="BJ139" s="16">
        <f>BH139+BI139</f>
        <v>0</v>
      </c>
      <c r="BK139" s="122" t="str">
        <f>IF(BH139=0," ",(BJ139-BH139)/BH139)</f>
        <v xml:space="preserve"> </v>
      </c>
      <c r="BM139" s="117">
        <v>0</v>
      </c>
      <c r="BN139" s="117">
        <v>0</v>
      </c>
      <c r="BP139" s="259"/>
      <c r="BR139" s="117">
        <v>0</v>
      </c>
      <c r="BS139" s="26"/>
      <c r="BU139" s="26">
        <v>0</v>
      </c>
      <c r="BV139" s="244"/>
      <c r="BW139" s="576">
        <f>BU139+BV139</f>
        <v>0</v>
      </c>
      <c r="BX139" s="577" t="str">
        <f>IF(BU139=0," ",(BW139-BU139)/BU139)</f>
        <v xml:space="preserve"> </v>
      </c>
      <c r="BZ139" s="166">
        <v>0</v>
      </c>
      <c r="CA139" s="166">
        <v>0</v>
      </c>
      <c r="CC139" s="753"/>
      <c r="CE139" s="166">
        <v>0</v>
      </c>
      <c r="CF139" s="166"/>
      <c r="CJ139" s="886"/>
      <c r="CK139" s="1"/>
      <c r="CO139" s="16"/>
    </row>
    <row r="140" spans="1:93" x14ac:dyDescent="0.3">
      <c r="A140" s="11">
        <v>145</v>
      </c>
      <c r="B140" s="3" t="s">
        <v>2</v>
      </c>
      <c r="C140" s="37">
        <v>14505</v>
      </c>
      <c r="D140" s="37">
        <v>57800</v>
      </c>
      <c r="E140" s="49" t="s">
        <v>118</v>
      </c>
      <c r="F140" s="3" t="s">
        <v>2</v>
      </c>
      <c r="G140" s="3" t="s">
        <v>52</v>
      </c>
      <c r="H140" s="26">
        <v>881</v>
      </c>
      <c r="I140" s="244"/>
      <c r="J140" s="16">
        <f t="shared" si="71"/>
        <v>881</v>
      </c>
      <c r="K140" s="122">
        <f t="shared" si="65"/>
        <v>0</v>
      </c>
      <c r="M140" s="117">
        <v>881</v>
      </c>
      <c r="N140" s="117">
        <v>881</v>
      </c>
      <c r="P140" s="259"/>
      <c r="R140" s="26">
        <v>881</v>
      </c>
      <c r="S140" s="26">
        <v>0</v>
      </c>
      <c r="U140" s="26">
        <v>881</v>
      </c>
      <c r="V140" s="244">
        <v>0</v>
      </c>
      <c r="W140" s="16">
        <f t="shared" si="72"/>
        <v>881</v>
      </c>
      <c r="X140" s="122">
        <f t="shared" si="66"/>
        <v>0</v>
      </c>
      <c r="Z140" s="117">
        <v>881</v>
      </c>
      <c r="AA140" s="117">
        <v>881</v>
      </c>
      <c r="AC140" s="259"/>
      <c r="AE140" s="26">
        <v>881</v>
      </c>
      <c r="AF140" s="200">
        <v>0</v>
      </c>
      <c r="AH140" s="26">
        <v>881</v>
      </c>
      <c r="AI140" s="244"/>
      <c r="AJ140" s="16">
        <f t="shared" si="73"/>
        <v>881</v>
      </c>
      <c r="AK140" s="122">
        <f t="shared" si="67"/>
        <v>0</v>
      </c>
      <c r="AM140" s="117">
        <v>881</v>
      </c>
      <c r="AN140" s="117">
        <v>881</v>
      </c>
      <c r="AP140" s="259"/>
      <c r="AR140" s="26">
        <v>881</v>
      </c>
      <c r="AS140" s="26">
        <v>0</v>
      </c>
      <c r="AU140" s="26">
        <f>AR140</f>
        <v>881</v>
      </c>
      <c r="AV140" s="244"/>
      <c r="AW140" s="16">
        <f t="shared" si="74"/>
        <v>881</v>
      </c>
      <c r="AX140" s="122">
        <f t="shared" si="68"/>
        <v>0</v>
      </c>
      <c r="AZ140" s="117">
        <v>881</v>
      </c>
      <c r="BA140" s="117">
        <v>881</v>
      </c>
      <c r="BC140" s="259"/>
      <c r="BE140" s="26">
        <v>881</v>
      </c>
      <c r="BF140" s="26">
        <v>0</v>
      </c>
      <c r="BH140" s="26">
        <v>881</v>
      </c>
      <c r="BI140" s="244"/>
      <c r="BJ140" s="16">
        <f t="shared" si="75"/>
        <v>881</v>
      </c>
      <c r="BK140" s="122">
        <f t="shared" si="69"/>
        <v>0</v>
      </c>
      <c r="BM140" s="117">
        <v>881</v>
      </c>
      <c r="BN140" s="117">
        <v>881</v>
      </c>
      <c r="BP140" s="259"/>
      <c r="BR140" s="117">
        <v>881</v>
      </c>
      <c r="BS140" s="26"/>
      <c r="BU140" s="26">
        <v>881</v>
      </c>
      <c r="BV140" s="244"/>
      <c r="BW140" s="576">
        <f t="shared" ref="BW140:BW141" si="77">BU140+BV140</f>
        <v>881</v>
      </c>
      <c r="BX140" s="577">
        <f t="shared" ref="BX140:BX141" si="78">IF(BU140=0," ",(BW140-BU140)/BU140)</f>
        <v>0</v>
      </c>
      <c r="BZ140" s="166">
        <v>881</v>
      </c>
      <c r="CA140" s="166">
        <v>881</v>
      </c>
      <c r="CC140" s="753"/>
      <c r="CE140" s="166">
        <v>881</v>
      </c>
      <c r="CF140" s="166"/>
      <c r="CJ140" s="886"/>
      <c r="CK140" s="1"/>
      <c r="CO140" s="16"/>
    </row>
    <row r="141" spans="1:93" x14ac:dyDescent="0.3">
      <c r="A141" s="11">
        <v>145</v>
      </c>
      <c r="B141" s="3" t="s">
        <v>2</v>
      </c>
      <c r="C141" s="37">
        <v>14505</v>
      </c>
      <c r="D141" s="37">
        <v>57810</v>
      </c>
      <c r="E141" s="49" t="s">
        <v>118</v>
      </c>
      <c r="F141" s="3" t="s">
        <v>2</v>
      </c>
      <c r="G141" s="3" t="s">
        <v>53</v>
      </c>
      <c r="H141" s="26">
        <v>1060</v>
      </c>
      <c r="I141" s="244"/>
      <c r="J141" s="16">
        <f t="shared" si="71"/>
        <v>1060</v>
      </c>
      <c r="K141" s="122">
        <f t="shared" si="65"/>
        <v>0</v>
      </c>
      <c r="M141" s="117">
        <v>1060</v>
      </c>
      <c r="N141" s="117">
        <v>1060</v>
      </c>
      <c r="P141" s="259"/>
      <c r="R141" s="26">
        <v>1060</v>
      </c>
      <c r="S141" s="26">
        <v>335.67</v>
      </c>
      <c r="U141" s="26">
        <v>1060</v>
      </c>
      <c r="V141" s="244">
        <v>0</v>
      </c>
      <c r="W141" s="16">
        <f t="shared" si="72"/>
        <v>1060</v>
      </c>
      <c r="X141" s="122">
        <f t="shared" si="66"/>
        <v>0</v>
      </c>
      <c r="Z141" s="117">
        <v>1060</v>
      </c>
      <c r="AA141" s="117">
        <v>1060</v>
      </c>
      <c r="AC141" s="259"/>
      <c r="AE141" s="26">
        <v>1060</v>
      </c>
      <c r="AF141" s="200">
        <v>256</v>
      </c>
      <c r="AH141" s="26">
        <v>1060</v>
      </c>
      <c r="AI141" s="244"/>
      <c r="AJ141" s="16">
        <f t="shared" si="73"/>
        <v>1060</v>
      </c>
      <c r="AK141" s="122">
        <f t="shared" si="67"/>
        <v>0</v>
      </c>
      <c r="AM141" s="117">
        <v>1060</v>
      </c>
      <c r="AN141" s="117">
        <v>1060</v>
      </c>
      <c r="AP141" s="259"/>
      <c r="AR141" s="26">
        <v>1060</v>
      </c>
      <c r="AS141" s="26">
        <v>1021.77</v>
      </c>
      <c r="AU141" s="26">
        <f>AR141</f>
        <v>1060</v>
      </c>
      <c r="AV141" s="244"/>
      <c r="AW141" s="16">
        <f t="shared" si="74"/>
        <v>1060</v>
      </c>
      <c r="AX141" s="122">
        <f t="shared" si="68"/>
        <v>0</v>
      </c>
      <c r="AZ141" s="117">
        <v>1060</v>
      </c>
      <c r="BA141" s="117">
        <v>1060</v>
      </c>
      <c r="BC141" s="259"/>
      <c r="BE141" s="26">
        <v>1060</v>
      </c>
      <c r="BF141" s="26">
        <v>595.75</v>
      </c>
      <c r="BH141" s="26">
        <v>1060</v>
      </c>
      <c r="BI141" s="244"/>
      <c r="BJ141" s="16">
        <f t="shared" si="75"/>
        <v>1060</v>
      </c>
      <c r="BK141" s="122">
        <f t="shared" si="69"/>
        <v>0</v>
      </c>
      <c r="BM141" s="117">
        <v>1060</v>
      </c>
      <c r="BN141" s="117">
        <v>1060</v>
      </c>
      <c r="BP141" s="259"/>
      <c r="BR141" s="117">
        <v>1060</v>
      </c>
      <c r="BS141" s="26"/>
      <c r="BU141" s="26">
        <v>1060</v>
      </c>
      <c r="BV141" s="244"/>
      <c r="BW141" s="576">
        <f t="shared" si="77"/>
        <v>1060</v>
      </c>
      <c r="BX141" s="577">
        <f t="shared" si="78"/>
        <v>0</v>
      </c>
      <c r="BZ141" s="166">
        <v>1060</v>
      </c>
      <c r="CA141" s="166">
        <v>1060</v>
      </c>
      <c r="CC141" s="753"/>
      <c r="CE141" s="166">
        <v>1060</v>
      </c>
      <c r="CF141" s="166"/>
      <c r="CJ141" s="886"/>
      <c r="CK141" s="1"/>
      <c r="CO141" s="16"/>
    </row>
    <row r="142" spans="1:93" s="19" customFormat="1" x14ac:dyDescent="0.3">
      <c r="A142" s="27"/>
      <c r="B142" s="8"/>
      <c r="C142" s="42"/>
      <c r="D142" s="42"/>
      <c r="E142" s="54"/>
      <c r="F142" s="8"/>
      <c r="G142" s="8" t="s">
        <v>143</v>
      </c>
      <c r="H142" s="28">
        <f>SUM(H129:H141)</f>
        <v>51046</v>
      </c>
      <c r="I142" s="28">
        <f>SUM(I129:I141)</f>
        <v>1022</v>
      </c>
      <c r="J142" s="28">
        <f>SUM(J129:J141)</f>
        <v>52068</v>
      </c>
      <c r="K142" s="123">
        <f>IF(H142=0," ",(J142-H142)/H142)</f>
        <v>2.0021157387454452E-2</v>
      </c>
      <c r="M142" s="28">
        <f>SUM(M129:M141)</f>
        <v>59068</v>
      </c>
      <c r="N142" s="28">
        <f>SUM(N129:N141)</f>
        <v>59068</v>
      </c>
      <c r="P142" s="139">
        <f>SUM(P129:P141)</f>
        <v>0</v>
      </c>
      <c r="R142" s="28">
        <f>SUM(R129:R141)</f>
        <v>59068</v>
      </c>
      <c r="S142" s="28">
        <f>SUM(S129:S141)</f>
        <v>44107.17</v>
      </c>
      <c r="U142" s="28">
        <f>SUM(U129:U141)</f>
        <v>59068</v>
      </c>
      <c r="V142" s="28">
        <f>SUM(V129:V141)</f>
        <v>-7000</v>
      </c>
      <c r="W142" s="28">
        <f>SUM(W129:W141)</f>
        <v>52068</v>
      </c>
      <c r="X142" s="123">
        <f>IF(U142=0," ",(W142-U142)/U142)</f>
        <v>-0.11850748290106318</v>
      </c>
      <c r="Z142" s="28">
        <f>SUM(Z129:Z141)</f>
        <v>52068</v>
      </c>
      <c r="AA142" s="28">
        <f>SUM(AA129:AA141)</f>
        <v>52068</v>
      </c>
      <c r="AC142" s="139"/>
      <c r="AE142" s="28">
        <f>SUM(AE129:AE141)</f>
        <v>52068</v>
      </c>
      <c r="AF142" s="201">
        <f>SUM(AF129:AF141)</f>
        <v>44863.49</v>
      </c>
      <c r="AH142" s="28">
        <v>52068</v>
      </c>
      <c r="AI142" s="28">
        <f>SUM(AI129:AI141)</f>
        <v>0</v>
      </c>
      <c r="AJ142" s="28">
        <f>SUM(AJ129:AJ141)</f>
        <v>52068</v>
      </c>
      <c r="AK142" s="123">
        <f>IF(AH142=0," ",(AJ142-AH142)/AH142)</f>
        <v>0</v>
      </c>
      <c r="AM142" s="28">
        <f>SUM(AM129:AM141)</f>
        <v>59718</v>
      </c>
      <c r="AN142" s="28">
        <f>SUM(AN129:AN141)</f>
        <v>59718</v>
      </c>
      <c r="AP142" s="139"/>
      <c r="AR142" s="28">
        <f>SUM(AR129:AR141)</f>
        <v>59718</v>
      </c>
      <c r="AS142" s="28">
        <f>SUM(AS129:AS141)</f>
        <v>40231</v>
      </c>
      <c r="AU142" s="28">
        <f>SUM(AU129:AU141)</f>
        <v>59718</v>
      </c>
      <c r="AV142" s="28">
        <f>SUM(AV129:AV141)</f>
        <v>-7650</v>
      </c>
      <c r="AW142" s="28">
        <f>SUM(AW129:AW141)</f>
        <v>52068</v>
      </c>
      <c r="AX142" s="123">
        <f>IF(AU142=0," ",(AW142-AU142)/AU142)</f>
        <v>-0.12810207977494223</v>
      </c>
      <c r="AZ142" s="28">
        <f>SUM(AZ129:AZ141)</f>
        <v>52068</v>
      </c>
      <c r="BA142" s="28">
        <f>SUM(BA129:BA141)</f>
        <v>52068</v>
      </c>
      <c r="BC142" s="139"/>
      <c r="BE142" s="28">
        <f>SUM(BE129:BE141)</f>
        <v>52068</v>
      </c>
      <c r="BF142" s="28">
        <f>SUM(BF129:BF141)</f>
        <v>38847.199999999997</v>
      </c>
      <c r="BG142" s="9"/>
      <c r="BH142" s="28">
        <f>SUM(BH129:BH141)</f>
        <v>52068</v>
      </c>
      <c r="BI142" s="28">
        <f>SUM(BI129:BI141)</f>
        <v>0</v>
      </c>
      <c r="BJ142" s="28">
        <f>SUM(BJ129:BJ141)</f>
        <v>52068</v>
      </c>
      <c r="BK142" s="123">
        <f>IF(BH142=0," ",(BJ142-BH142)/BH142)</f>
        <v>0</v>
      </c>
      <c r="BM142" s="28">
        <f>SUM(BM129:BM141)</f>
        <v>52068</v>
      </c>
      <c r="BN142" s="28">
        <f>SUM(BN129:BN141)</f>
        <v>52068</v>
      </c>
      <c r="BP142" s="139"/>
      <c r="BR142" s="28">
        <f>SUM(BR129:BR141)</f>
        <v>52068</v>
      </c>
      <c r="BS142" s="28">
        <f>SUM(BS129:BS141)</f>
        <v>15519.670000000002</v>
      </c>
      <c r="BT142" s="9"/>
      <c r="BU142" s="28">
        <f>SUM(BU129:BU141)</f>
        <v>52068</v>
      </c>
      <c r="BV142" s="532">
        <f>SUM(BV129:BV141)</f>
        <v>0</v>
      </c>
      <c r="BW142" s="591">
        <f>SUM(BW129:BW141)</f>
        <v>52068</v>
      </c>
      <c r="BX142" s="579">
        <f>IF(BU142=0," ",(BW142-BU142)/BU142)</f>
        <v>0</v>
      </c>
      <c r="BY142" s="580"/>
      <c r="BZ142" s="591">
        <f>SUM(BZ129:BZ141)</f>
        <v>52068</v>
      </c>
      <c r="CA142" s="591">
        <f>SUM(CA129:CA141)</f>
        <v>60168</v>
      </c>
      <c r="CB142" s="580"/>
      <c r="CC142" s="769"/>
      <c r="CD142" s="580"/>
      <c r="CE142" s="591">
        <f>SUM(CE129:CE141)</f>
        <v>60168</v>
      </c>
      <c r="CF142" s="591">
        <f>SUM(CF129:CF141)</f>
        <v>0</v>
      </c>
      <c r="CG142" s="9"/>
      <c r="CH142" s="815"/>
      <c r="CI142" s="815"/>
      <c r="CJ142" s="886"/>
      <c r="CK142" s="1"/>
      <c r="CO142" s="16"/>
    </row>
    <row r="143" spans="1:93" ht="4.5" customHeight="1" x14ac:dyDescent="0.3">
      <c r="AS143" s="16"/>
      <c r="CJ143" s="886"/>
      <c r="CK143" s="1"/>
      <c r="CO143" s="16"/>
    </row>
    <row r="144" spans="1:93" s="1" customFormat="1" x14ac:dyDescent="0.3">
      <c r="A144" s="20"/>
      <c r="B144" s="5"/>
      <c r="C144" s="39"/>
      <c r="D144" s="39"/>
      <c r="E144" s="51"/>
      <c r="F144" s="5"/>
      <c r="G144" s="21" t="s">
        <v>144</v>
      </c>
      <c r="H144" s="22">
        <f>H127+H142</f>
        <v>231199</v>
      </c>
      <c r="I144" s="22">
        <f>I127+I142</f>
        <v>9092</v>
      </c>
      <c r="J144" s="22">
        <f>J127+J142</f>
        <v>240291</v>
      </c>
      <c r="K144" s="124">
        <f>IF(H144=0," ",(J144-H144)/H144)</f>
        <v>3.9325429608259549E-2</v>
      </c>
      <c r="M144" s="22">
        <f>M127+M142</f>
        <v>252701</v>
      </c>
      <c r="N144" s="22">
        <f>N127+N142</f>
        <v>252701</v>
      </c>
      <c r="P144" s="136">
        <f>P127+P142</f>
        <v>0</v>
      </c>
      <c r="R144" s="22">
        <f>R127+R142</f>
        <v>252701</v>
      </c>
      <c r="S144" s="22">
        <f>S127+S142</f>
        <v>237740.16999999998</v>
      </c>
      <c r="U144" s="22">
        <f>U127+U142</f>
        <v>252701</v>
      </c>
      <c r="V144" s="22">
        <f>V127+V142</f>
        <v>2228</v>
      </c>
      <c r="W144" s="22">
        <f>W127+W142</f>
        <v>254929</v>
      </c>
      <c r="X144" s="124">
        <f>IF(U144=0," ",(W144-U144)/U144)</f>
        <v>8.8167438989161101E-3</v>
      </c>
      <c r="Z144" s="22">
        <f>Z127+Z142</f>
        <v>254929</v>
      </c>
      <c r="AA144" s="22">
        <f>AA127+AA142</f>
        <v>255679</v>
      </c>
      <c r="AC144" s="136"/>
      <c r="AE144" s="22">
        <f>AE127+AE142</f>
        <v>255679</v>
      </c>
      <c r="AF144" s="199">
        <f>AF127+AF142</f>
        <v>248486.61</v>
      </c>
      <c r="AH144" s="22">
        <v>255679</v>
      </c>
      <c r="AI144" s="22">
        <f>AI127+AI142</f>
        <v>11440</v>
      </c>
      <c r="AJ144" s="22">
        <f>AJ127+AJ142</f>
        <v>267119</v>
      </c>
      <c r="AK144" s="124">
        <f>IF(AH144=0," ",(AJ144-AH144)/AH144)</f>
        <v>4.4743604285060565E-2</v>
      </c>
      <c r="AM144" s="22">
        <f>AM127+AM142</f>
        <v>274769</v>
      </c>
      <c r="AN144" s="22">
        <f>AN127+AN142</f>
        <v>274769</v>
      </c>
      <c r="AP144" s="136"/>
      <c r="AR144" s="22">
        <f>AR127+AR142</f>
        <v>274769</v>
      </c>
      <c r="AS144" s="22">
        <f>AS127+AS142</f>
        <v>252497.48</v>
      </c>
      <c r="AU144" s="22">
        <f>AU127+AU142</f>
        <v>274769</v>
      </c>
      <c r="AV144" s="22">
        <f>AV127+AV142</f>
        <v>-2358</v>
      </c>
      <c r="AW144" s="22">
        <f>AW127+AW142</f>
        <v>272411</v>
      </c>
      <c r="AX144" s="124">
        <f>IF(AU144=0," ",(AW144-AU144)/AU144)</f>
        <v>-8.5817541280129861E-3</v>
      </c>
      <c r="AZ144" s="22">
        <f>AZ127+AZ142</f>
        <v>271559</v>
      </c>
      <c r="BA144" s="22">
        <f>BA127+BA142</f>
        <v>268098</v>
      </c>
      <c r="BC144" s="136"/>
      <c r="BE144" s="22">
        <f>BE127+BE142</f>
        <v>268098</v>
      </c>
      <c r="BF144" s="22">
        <f>BF127+BF142</f>
        <v>254458.7</v>
      </c>
      <c r="BH144" s="22">
        <f>BH127+BH142</f>
        <v>268098</v>
      </c>
      <c r="BI144" s="22">
        <f>BI127+BI142</f>
        <v>3594</v>
      </c>
      <c r="BJ144" s="22">
        <f>BJ127+BJ142</f>
        <v>271692</v>
      </c>
      <c r="BK144" s="124">
        <f>IF(BH144=0," ",(BJ144-BH144)/BH144)</f>
        <v>1.3405545733276637E-2</v>
      </c>
      <c r="BM144" s="22">
        <f>BM127+BM142</f>
        <v>271692</v>
      </c>
      <c r="BN144" s="22">
        <f>BN127+BN142</f>
        <v>271692</v>
      </c>
      <c r="BP144" s="136"/>
      <c r="BR144" s="22">
        <f>BR127+BR142</f>
        <v>271692</v>
      </c>
      <c r="BS144" s="22">
        <f>BS127+BS142</f>
        <v>113290.43000000001</v>
      </c>
      <c r="BU144" s="22">
        <f>BU127+BU142</f>
        <v>271692</v>
      </c>
      <c r="BV144" s="531">
        <f>BV127+BV142</f>
        <v>3879</v>
      </c>
      <c r="BW144" s="581">
        <f>BW127+BW142</f>
        <v>275571</v>
      </c>
      <c r="BX144" s="582">
        <f>IF(BU144=0," ",(BW144-BU144)/BU144)</f>
        <v>1.427719623691533E-2</v>
      </c>
      <c r="BY144" s="573"/>
      <c r="BZ144" s="581">
        <f>BZ127+BZ142</f>
        <v>275571</v>
      </c>
      <c r="CA144" s="581">
        <f>CA127+CA142</f>
        <v>283671</v>
      </c>
      <c r="CB144" s="573"/>
      <c r="CC144" s="764"/>
      <c r="CD144" s="573"/>
      <c r="CE144" s="581">
        <f>CE127+CE142</f>
        <v>283671</v>
      </c>
      <c r="CF144" s="581">
        <f>CF127+CF142</f>
        <v>0</v>
      </c>
      <c r="CH144" s="812"/>
      <c r="CI144" s="812"/>
      <c r="CJ144" s="886"/>
      <c r="CO144" s="16"/>
    </row>
    <row r="145" spans="1:93" ht="7.5" customHeight="1" x14ac:dyDescent="0.3">
      <c r="AS145" s="16"/>
      <c r="CJ145" s="886"/>
      <c r="CK145" s="1"/>
      <c r="CO145" s="16"/>
    </row>
    <row r="146" spans="1:93" s="1" customFormat="1" ht="15.6" x14ac:dyDescent="0.3">
      <c r="A146" s="14" t="s">
        <v>282</v>
      </c>
      <c r="B146" s="2"/>
      <c r="C146" s="36"/>
      <c r="D146" s="36"/>
      <c r="E146" s="48"/>
      <c r="F146" s="2"/>
      <c r="G146" s="2"/>
      <c r="H146" s="15"/>
      <c r="I146" s="15"/>
      <c r="J146" s="15"/>
      <c r="K146" s="121"/>
      <c r="M146" s="15"/>
      <c r="N146" s="15"/>
      <c r="P146" s="133"/>
      <c r="R146" s="15"/>
      <c r="S146" s="15"/>
      <c r="U146" s="15"/>
      <c r="V146" s="15"/>
      <c r="W146" s="15"/>
      <c r="X146" s="121"/>
      <c r="Z146" s="15"/>
      <c r="AA146" s="15"/>
      <c r="AC146" s="133"/>
      <c r="AE146" s="15"/>
      <c r="AF146" s="196"/>
      <c r="AH146" s="15"/>
      <c r="AI146" s="15"/>
      <c r="AJ146" s="15"/>
      <c r="AK146" s="121"/>
      <c r="AM146" s="15"/>
      <c r="AN146" s="15"/>
      <c r="AP146" s="133"/>
      <c r="AR146" s="15"/>
      <c r="AS146" s="15"/>
      <c r="AU146" s="15"/>
      <c r="AV146" s="15"/>
      <c r="AW146" s="15"/>
      <c r="AX146" s="121"/>
      <c r="AZ146" s="15"/>
      <c r="BA146" s="15"/>
      <c r="BC146" s="133"/>
      <c r="BE146" s="15"/>
      <c r="BF146" s="15"/>
      <c r="BH146" s="15"/>
      <c r="BI146" s="15"/>
      <c r="BJ146" s="15"/>
      <c r="BK146" s="121"/>
      <c r="BM146" s="15"/>
      <c r="BN146" s="15"/>
      <c r="BP146" s="234"/>
      <c r="BR146" s="15"/>
      <c r="BS146" s="15"/>
      <c r="BU146" s="15"/>
      <c r="BV146" s="529"/>
      <c r="BW146" s="574"/>
      <c r="BX146" s="575"/>
      <c r="BY146" s="573"/>
      <c r="BZ146" s="574"/>
      <c r="CA146" s="574"/>
      <c r="CB146" s="573"/>
      <c r="CC146" s="761"/>
      <c r="CD146" s="573"/>
      <c r="CE146" s="574"/>
      <c r="CF146" s="574"/>
      <c r="CH146" s="812"/>
      <c r="CI146" s="812"/>
      <c r="CJ146" s="886"/>
      <c r="CO146" s="16"/>
    </row>
    <row r="147" spans="1:93" x14ac:dyDescent="0.3">
      <c r="A147" s="11">
        <v>150</v>
      </c>
      <c r="B147" s="3" t="s">
        <v>2</v>
      </c>
      <c r="C147" s="37">
        <v>15005</v>
      </c>
      <c r="D147" s="37">
        <v>52100</v>
      </c>
      <c r="E147" s="49" t="s">
        <v>118</v>
      </c>
      <c r="F147" s="3" t="s">
        <v>2</v>
      </c>
      <c r="G147" s="3" t="s">
        <v>145</v>
      </c>
      <c r="H147" s="26">
        <v>12360</v>
      </c>
      <c r="I147" s="244"/>
      <c r="J147" s="16">
        <f t="shared" ref="J147:J152" si="79">H147+I147</f>
        <v>12360</v>
      </c>
      <c r="K147" s="122">
        <f>IF(H147=0," ",(J147-H147)/H147)</f>
        <v>0</v>
      </c>
      <c r="M147" s="117">
        <v>12360</v>
      </c>
      <c r="N147" s="117">
        <v>12360</v>
      </c>
      <c r="P147" s="259"/>
      <c r="R147" s="26">
        <v>12360</v>
      </c>
      <c r="S147" s="26">
        <v>1968.91</v>
      </c>
      <c r="U147" s="26">
        <v>12360</v>
      </c>
      <c r="V147" s="244">
        <v>0</v>
      </c>
      <c r="W147" s="16">
        <f t="shared" ref="W147:W152" si="80">U147+V147</f>
        <v>12360</v>
      </c>
      <c r="X147" s="122">
        <f t="shared" ref="X147:X152" si="81">IF(U147=0," ",(W147-U147)/U147)</f>
        <v>0</v>
      </c>
      <c r="Z147" s="117">
        <v>12360</v>
      </c>
      <c r="AA147" s="117">
        <v>12360</v>
      </c>
      <c r="AC147" s="259" t="s">
        <v>735</v>
      </c>
      <c r="AE147" s="26">
        <v>12360</v>
      </c>
      <c r="AF147" s="200">
        <v>26574.71</v>
      </c>
      <c r="AH147" s="26">
        <v>12360</v>
      </c>
      <c r="AI147" s="244"/>
      <c r="AJ147" s="16">
        <f t="shared" ref="AJ147:AJ156" si="82">AH147+AI147</f>
        <v>12360</v>
      </c>
      <c r="AK147" s="122">
        <f t="shared" ref="AK147:AK175" si="83">IF(AH147=0," ",(AJ147-AH147)/AH147)</f>
        <v>0</v>
      </c>
      <c r="AM147" s="117">
        <f>12360+5640</f>
        <v>18000</v>
      </c>
      <c r="AN147" s="117">
        <f>12360+5640</f>
        <v>18000</v>
      </c>
      <c r="AP147" s="266" t="s">
        <v>817</v>
      </c>
      <c r="AR147" s="26">
        <f>12360+5640</f>
        <v>18000</v>
      </c>
      <c r="AS147" s="26">
        <v>26106.89</v>
      </c>
      <c r="AU147" s="26">
        <f t="shared" ref="AU147:AU175" si="84">AR147</f>
        <v>18000</v>
      </c>
      <c r="AV147" s="244">
        <v>2000</v>
      </c>
      <c r="AW147" s="16">
        <f t="shared" ref="AW147:AW175" si="85">AU147+AV147</f>
        <v>20000</v>
      </c>
      <c r="AX147" s="122">
        <f>IF(AU147=0," ",(AW147-AU147)/AU147)</f>
        <v>0.1111111111111111</v>
      </c>
      <c r="AZ147" s="117">
        <v>20000</v>
      </c>
      <c r="BA147" s="117">
        <v>20000</v>
      </c>
      <c r="BC147" s="266"/>
      <c r="BE147" s="26">
        <v>20000</v>
      </c>
      <c r="BF147" s="26">
        <v>28608.05</v>
      </c>
      <c r="BH147" s="26">
        <v>20000</v>
      </c>
      <c r="BI147" s="244"/>
      <c r="BJ147" s="16">
        <f t="shared" ref="BJ147:BJ175" si="86">BH147+BI147</f>
        <v>20000</v>
      </c>
      <c r="BK147" s="122">
        <f>IF(BH147=0," ",(BJ147-BH147)/BH147)</f>
        <v>0</v>
      </c>
      <c r="BM147" s="117">
        <v>20000</v>
      </c>
      <c r="BN147" s="117">
        <v>29000</v>
      </c>
      <c r="BP147" s="430" t="s">
        <v>1192</v>
      </c>
      <c r="BR147" s="117">
        <v>29000</v>
      </c>
      <c r="BS147" s="26">
        <v>1174.22</v>
      </c>
      <c r="BU147" s="26">
        <v>29000</v>
      </c>
      <c r="BV147" s="244"/>
      <c r="BW147" s="576">
        <f t="shared" ref="BW147:BW175" si="87">BU147+BV147</f>
        <v>29000</v>
      </c>
      <c r="BX147" s="577">
        <f>IF(BU147=0," ",(BW147-BU147)/BU147)</f>
        <v>0</v>
      </c>
      <c r="BZ147" s="166">
        <v>29000</v>
      </c>
      <c r="CA147" s="166">
        <v>29000</v>
      </c>
      <c r="CC147" s="754"/>
      <c r="CE147" s="166">
        <v>29000</v>
      </c>
      <c r="CF147" s="166"/>
      <c r="CJ147" s="886"/>
      <c r="CK147" s="1"/>
      <c r="CO147" s="16"/>
    </row>
    <row r="148" spans="1:93" x14ac:dyDescent="0.3">
      <c r="A148" s="11">
        <v>150</v>
      </c>
      <c r="B148" s="3" t="s">
        <v>2</v>
      </c>
      <c r="C148" s="37">
        <v>15005</v>
      </c>
      <c r="D148" s="37">
        <v>52150</v>
      </c>
      <c r="E148" s="49" t="s">
        <v>118</v>
      </c>
      <c r="F148" s="3" t="s">
        <v>2</v>
      </c>
      <c r="G148" s="3" t="s">
        <v>146</v>
      </c>
      <c r="H148" s="26">
        <v>7210</v>
      </c>
      <c r="I148" s="244"/>
      <c r="J148" s="16">
        <f t="shared" si="79"/>
        <v>7210</v>
      </c>
      <c r="K148" s="122">
        <f t="shared" ref="K148:K153" si="88">IF(H148=0," ",(J148-H148)/H148)</f>
        <v>0</v>
      </c>
      <c r="M148" s="117">
        <v>7210</v>
      </c>
      <c r="N148" s="117">
        <v>7210</v>
      </c>
      <c r="P148" s="259"/>
      <c r="R148" s="26">
        <v>7210</v>
      </c>
      <c r="S148" s="26">
        <v>5741.93</v>
      </c>
      <c r="U148" s="26">
        <v>7210</v>
      </c>
      <c r="V148" s="244">
        <v>0</v>
      </c>
      <c r="W148" s="16">
        <f t="shared" si="80"/>
        <v>7210</v>
      </c>
      <c r="X148" s="122">
        <f t="shared" si="81"/>
        <v>0</v>
      </c>
      <c r="Z148" s="117">
        <v>7210</v>
      </c>
      <c r="AA148" s="117">
        <v>7210</v>
      </c>
      <c r="AC148" s="259" t="s">
        <v>736</v>
      </c>
      <c r="AE148" s="26">
        <v>7210</v>
      </c>
      <c r="AF148" s="200">
        <v>3791.7</v>
      </c>
      <c r="AH148" s="26">
        <v>7210</v>
      </c>
      <c r="AI148" s="244"/>
      <c r="AJ148" s="16">
        <f t="shared" si="82"/>
        <v>7210</v>
      </c>
      <c r="AK148" s="122">
        <f t="shared" si="83"/>
        <v>0</v>
      </c>
      <c r="AM148" s="117">
        <v>7210</v>
      </c>
      <c r="AN148" s="117">
        <v>7210</v>
      </c>
      <c r="AP148" s="259"/>
      <c r="AR148" s="26">
        <v>7210</v>
      </c>
      <c r="AS148" s="26">
        <v>3325.91</v>
      </c>
      <c r="AU148" s="26">
        <f t="shared" si="84"/>
        <v>7210</v>
      </c>
      <c r="AV148" s="244">
        <v>-4210</v>
      </c>
      <c r="AW148" s="16">
        <f t="shared" si="85"/>
        <v>3000</v>
      </c>
      <c r="AX148" s="122">
        <f t="shared" ref="AX148:AX169" si="89">IF(AU148=0," ",(AW148-AU148)/AU148)</f>
        <v>-0.58391123439667125</v>
      </c>
      <c r="AZ148" s="117">
        <v>3000</v>
      </c>
      <c r="BA148" s="117">
        <v>3000</v>
      </c>
      <c r="BC148" s="259"/>
      <c r="BE148" s="26">
        <v>3000</v>
      </c>
      <c r="BF148" s="26">
        <v>3311.04</v>
      </c>
      <c r="BH148" s="26">
        <v>3000</v>
      </c>
      <c r="BI148" s="244"/>
      <c r="BJ148" s="16">
        <f t="shared" si="86"/>
        <v>3000</v>
      </c>
      <c r="BK148" s="122">
        <f t="shared" ref="BK148:BK154" si="90">IF(BH148=0," ",(BJ148-BH148)/BH148)</f>
        <v>0</v>
      </c>
      <c r="BM148" s="117">
        <v>3000</v>
      </c>
      <c r="BN148" s="117">
        <v>3000</v>
      </c>
      <c r="BP148" s="399"/>
      <c r="BR148" s="117">
        <v>3000</v>
      </c>
      <c r="BS148" s="26">
        <v>553.79999999999995</v>
      </c>
      <c r="BU148" s="26">
        <v>3000</v>
      </c>
      <c r="BV148" s="244"/>
      <c r="BW148" s="576">
        <f t="shared" si="87"/>
        <v>3000</v>
      </c>
      <c r="BX148" s="577">
        <f t="shared" ref="BX148:BX154" si="91">IF(BU148=0," ",(BW148-BU148)/BU148)</f>
        <v>0</v>
      </c>
      <c r="BZ148" s="166">
        <v>3000</v>
      </c>
      <c r="CA148" s="166">
        <v>3000</v>
      </c>
      <c r="CC148" s="754"/>
      <c r="CE148" s="166">
        <v>3000</v>
      </c>
      <c r="CF148" s="166"/>
      <c r="CJ148" s="886"/>
      <c r="CK148" s="1"/>
      <c r="CO148" s="16"/>
    </row>
    <row r="149" spans="1:93" x14ac:dyDescent="0.3">
      <c r="A149" s="11">
        <v>150</v>
      </c>
      <c r="B149" s="3" t="s">
        <v>2</v>
      </c>
      <c r="C149" s="37">
        <v>15005</v>
      </c>
      <c r="D149" s="37">
        <v>52222</v>
      </c>
      <c r="E149" s="49" t="s">
        <v>118</v>
      </c>
      <c r="F149" s="3" t="s">
        <v>2</v>
      </c>
      <c r="G149" s="3" t="s">
        <v>633</v>
      </c>
      <c r="H149" s="26"/>
      <c r="I149" s="244"/>
      <c r="J149" s="16">
        <f t="shared" si="79"/>
        <v>0</v>
      </c>
      <c r="K149" s="122" t="str">
        <f t="shared" si="88"/>
        <v xml:space="preserve"> </v>
      </c>
      <c r="M149" s="117"/>
      <c r="N149" s="117"/>
      <c r="P149" s="259"/>
      <c r="R149" s="26"/>
      <c r="S149" s="26">
        <v>19583.57</v>
      </c>
      <c r="U149" s="26"/>
      <c r="V149" s="244">
        <v>0</v>
      </c>
      <c r="W149" s="16">
        <f t="shared" si="80"/>
        <v>0</v>
      </c>
      <c r="X149" s="122" t="str">
        <f t="shared" si="81"/>
        <v xml:space="preserve"> </v>
      </c>
      <c r="Z149" s="117">
        <v>0</v>
      </c>
      <c r="AA149" s="117">
        <v>0</v>
      </c>
      <c r="AC149" s="259"/>
      <c r="AE149" s="26">
        <v>0</v>
      </c>
      <c r="AF149" s="200">
        <v>4119.9399999999996</v>
      </c>
      <c r="AH149" s="26">
        <v>0</v>
      </c>
      <c r="AI149" s="244"/>
      <c r="AJ149" s="16">
        <f t="shared" si="82"/>
        <v>0</v>
      </c>
      <c r="AK149" s="122" t="str">
        <f t="shared" si="83"/>
        <v xml:space="preserve"> </v>
      </c>
      <c r="AM149" s="117">
        <v>0</v>
      </c>
      <c r="AN149" s="117">
        <v>0</v>
      </c>
      <c r="AP149" s="259"/>
      <c r="AR149" s="26">
        <v>0</v>
      </c>
      <c r="AS149" s="26">
        <v>0</v>
      </c>
      <c r="AU149" s="26">
        <f t="shared" si="84"/>
        <v>0</v>
      </c>
      <c r="AV149" s="244"/>
      <c r="AW149" s="16">
        <f t="shared" si="85"/>
        <v>0</v>
      </c>
      <c r="AX149" s="122" t="str">
        <f t="shared" si="89"/>
        <v xml:space="preserve"> </v>
      </c>
      <c r="AZ149" s="117">
        <v>0</v>
      </c>
      <c r="BA149" s="117">
        <v>0</v>
      </c>
      <c r="BC149" s="259"/>
      <c r="BE149" s="26">
        <v>0</v>
      </c>
      <c r="BF149" s="26"/>
      <c r="BH149" s="26">
        <v>0</v>
      </c>
      <c r="BI149" s="244"/>
      <c r="BJ149" s="16">
        <f t="shared" si="86"/>
        <v>0</v>
      </c>
      <c r="BK149" s="122" t="str">
        <f t="shared" si="90"/>
        <v xml:space="preserve"> </v>
      </c>
      <c r="BM149" s="117">
        <v>0</v>
      </c>
      <c r="BN149" s="117">
        <v>0</v>
      </c>
      <c r="BP149" s="259"/>
      <c r="BR149" s="117">
        <v>0</v>
      </c>
      <c r="BS149" s="26"/>
      <c r="BU149" s="26">
        <v>0</v>
      </c>
      <c r="BV149" s="244"/>
      <c r="BW149" s="576">
        <f t="shared" si="87"/>
        <v>0</v>
      </c>
      <c r="BX149" s="577" t="str">
        <f t="shared" si="91"/>
        <v xml:space="preserve"> </v>
      </c>
      <c r="BZ149" s="166">
        <v>0</v>
      </c>
      <c r="CA149" s="166">
        <v>0</v>
      </c>
      <c r="CC149" s="753"/>
      <c r="CE149" s="166">
        <v>0</v>
      </c>
      <c r="CF149" s="166"/>
      <c r="CJ149" s="886"/>
      <c r="CK149" s="1"/>
      <c r="CO149" s="16"/>
    </row>
    <row r="150" spans="1:93" x14ac:dyDescent="0.3">
      <c r="A150" s="11">
        <v>150</v>
      </c>
      <c r="B150" s="3" t="s">
        <v>2</v>
      </c>
      <c r="C150" s="37">
        <v>15005</v>
      </c>
      <c r="D150" s="37">
        <v>52300</v>
      </c>
      <c r="E150" s="49" t="s">
        <v>118</v>
      </c>
      <c r="F150" s="3" t="s">
        <v>2</v>
      </c>
      <c r="G150" s="3" t="s">
        <v>147</v>
      </c>
      <c r="H150" s="26">
        <v>721</v>
      </c>
      <c r="I150" s="244"/>
      <c r="J150" s="16">
        <f t="shared" si="79"/>
        <v>721</v>
      </c>
      <c r="K150" s="122">
        <f t="shared" si="88"/>
        <v>0</v>
      </c>
      <c r="M150" s="117">
        <v>721</v>
      </c>
      <c r="N150" s="117">
        <v>721</v>
      </c>
      <c r="P150" s="259"/>
      <c r="R150" s="26">
        <v>721</v>
      </c>
      <c r="S150" s="26">
        <v>87.1</v>
      </c>
      <c r="U150" s="26">
        <v>721</v>
      </c>
      <c r="V150" s="244">
        <v>0</v>
      </c>
      <c r="W150" s="16">
        <f t="shared" si="80"/>
        <v>721</v>
      </c>
      <c r="X150" s="122">
        <f t="shared" si="81"/>
        <v>0</v>
      </c>
      <c r="Z150" s="117">
        <v>721</v>
      </c>
      <c r="AA150" s="117">
        <v>721</v>
      </c>
      <c r="AC150" s="259"/>
      <c r="AE150" s="26">
        <v>721</v>
      </c>
      <c r="AF150" s="200">
        <v>569.86</v>
      </c>
      <c r="AH150" s="26">
        <v>721</v>
      </c>
      <c r="AI150" s="244"/>
      <c r="AJ150" s="16">
        <f t="shared" si="82"/>
        <v>721</v>
      </c>
      <c r="AK150" s="122">
        <f t="shared" si="83"/>
        <v>0</v>
      </c>
      <c r="AM150" s="117">
        <v>721</v>
      </c>
      <c r="AN150" s="117">
        <v>721</v>
      </c>
      <c r="AP150" s="259"/>
      <c r="AR150" s="26">
        <v>721</v>
      </c>
      <c r="AS150" s="26">
        <v>588.78</v>
      </c>
      <c r="AU150" s="26">
        <f t="shared" si="84"/>
        <v>721</v>
      </c>
      <c r="AV150" s="244">
        <v>29</v>
      </c>
      <c r="AW150" s="16">
        <f t="shared" si="85"/>
        <v>750</v>
      </c>
      <c r="AX150" s="122">
        <f t="shared" si="89"/>
        <v>4.0221914008321778E-2</v>
      </c>
      <c r="AZ150" s="117">
        <v>750</v>
      </c>
      <c r="BA150" s="117">
        <v>750</v>
      </c>
      <c r="BC150" s="259"/>
      <c r="BE150" s="26">
        <v>750</v>
      </c>
      <c r="BF150" s="26">
        <v>450.27</v>
      </c>
      <c r="BH150" s="26">
        <v>750</v>
      </c>
      <c r="BI150" s="244"/>
      <c r="BJ150" s="16">
        <f t="shared" si="86"/>
        <v>750</v>
      </c>
      <c r="BK150" s="122">
        <f t="shared" si="90"/>
        <v>0</v>
      </c>
      <c r="BM150" s="117">
        <v>750</v>
      </c>
      <c r="BN150" s="117">
        <v>750</v>
      </c>
      <c r="BP150" s="259"/>
      <c r="BR150" s="117">
        <v>750</v>
      </c>
      <c r="BS150" s="26">
        <v>135.57</v>
      </c>
      <c r="BU150" s="26">
        <v>750</v>
      </c>
      <c r="BV150" s="244"/>
      <c r="BW150" s="576">
        <f t="shared" si="87"/>
        <v>750</v>
      </c>
      <c r="BX150" s="577">
        <f t="shared" si="91"/>
        <v>0</v>
      </c>
      <c r="BZ150" s="166">
        <v>750</v>
      </c>
      <c r="CA150" s="166">
        <v>750</v>
      </c>
      <c r="CC150" s="753"/>
      <c r="CE150" s="166">
        <v>750</v>
      </c>
      <c r="CF150" s="166"/>
      <c r="CJ150" s="886"/>
      <c r="CK150" s="1"/>
      <c r="CO150" s="16"/>
    </row>
    <row r="151" spans="1:93" x14ac:dyDescent="0.3">
      <c r="A151" s="12">
        <v>150</v>
      </c>
      <c r="B151" s="1" t="s">
        <v>2</v>
      </c>
      <c r="C151" s="35">
        <v>15005</v>
      </c>
      <c r="D151" s="35">
        <v>52400</v>
      </c>
      <c r="E151" s="47" t="s">
        <v>118</v>
      </c>
      <c r="F151" s="1" t="s">
        <v>2</v>
      </c>
      <c r="G151" s="1" t="s">
        <v>285</v>
      </c>
      <c r="H151" s="26">
        <v>25409</v>
      </c>
      <c r="I151" s="244">
        <v>500</v>
      </c>
      <c r="J151" s="16">
        <f t="shared" si="79"/>
        <v>25909</v>
      </c>
      <c r="K151" s="122">
        <f t="shared" si="88"/>
        <v>1.9678066826714944E-2</v>
      </c>
      <c r="M151" s="117">
        <v>25909</v>
      </c>
      <c r="N151" s="117">
        <v>25909</v>
      </c>
      <c r="P151" s="259"/>
      <c r="R151" s="26">
        <v>25909</v>
      </c>
      <c r="S151" s="26">
        <v>15230.41</v>
      </c>
      <c r="U151" s="26">
        <v>25909</v>
      </c>
      <c r="V151" s="244">
        <v>0</v>
      </c>
      <c r="W151" s="16">
        <f t="shared" si="80"/>
        <v>25909</v>
      </c>
      <c r="X151" s="122">
        <f t="shared" si="81"/>
        <v>0</v>
      </c>
      <c r="Z151" s="117">
        <v>25909</v>
      </c>
      <c r="AA151" s="117">
        <v>25909</v>
      </c>
      <c r="AC151" s="259"/>
      <c r="AE151" s="26">
        <v>25909</v>
      </c>
      <c r="AF151" s="200">
        <v>26160.67</v>
      </c>
      <c r="AH151" s="26">
        <v>25909</v>
      </c>
      <c r="AI151" s="244"/>
      <c r="AJ151" s="16">
        <f t="shared" si="82"/>
        <v>25909</v>
      </c>
      <c r="AK151" s="122">
        <f t="shared" si="83"/>
        <v>0</v>
      </c>
      <c r="AM151" s="117">
        <f>25909+13000</f>
        <v>38909</v>
      </c>
      <c r="AN151" s="117">
        <f>25909+13000</f>
        <v>38909</v>
      </c>
      <c r="AP151" s="266" t="s">
        <v>818</v>
      </c>
      <c r="AR151" s="26">
        <f>25909+13000</f>
        <v>38909</v>
      </c>
      <c r="AS151" s="26">
        <v>25580.400000000001</v>
      </c>
      <c r="AU151" s="26">
        <f t="shared" si="84"/>
        <v>38909</v>
      </c>
      <c r="AV151" s="244">
        <v>91</v>
      </c>
      <c r="AW151" s="336">
        <f t="shared" si="85"/>
        <v>39000</v>
      </c>
      <c r="AX151" s="122">
        <f t="shared" si="89"/>
        <v>2.3387905111927833E-3</v>
      </c>
      <c r="AZ151" s="117">
        <v>39000</v>
      </c>
      <c r="BA151" s="117">
        <v>39000</v>
      </c>
      <c r="BC151" s="266"/>
      <c r="BE151" s="26">
        <v>39000</v>
      </c>
      <c r="BF151" s="26">
        <v>26792.27</v>
      </c>
      <c r="BH151" s="26">
        <v>39000</v>
      </c>
      <c r="BI151" s="416">
        <v>-2000</v>
      </c>
      <c r="BJ151" s="16">
        <f t="shared" si="86"/>
        <v>37000</v>
      </c>
      <c r="BK151" s="122">
        <f t="shared" si="90"/>
        <v>-5.128205128205128E-2</v>
      </c>
      <c r="BM151" s="117">
        <v>37000</v>
      </c>
      <c r="BN151" s="117">
        <v>37000</v>
      </c>
      <c r="BP151" s="399" t="s">
        <v>1120</v>
      </c>
      <c r="BR151" s="117">
        <v>37000</v>
      </c>
      <c r="BS151" s="26">
        <v>6787.27</v>
      </c>
      <c r="BU151" s="26">
        <v>37000</v>
      </c>
      <c r="BV151" s="828">
        <v>-1895</v>
      </c>
      <c r="BW151" s="576">
        <f t="shared" si="87"/>
        <v>35105</v>
      </c>
      <c r="BX151" s="577">
        <f t="shared" si="91"/>
        <v>-5.1216216216216214E-2</v>
      </c>
      <c r="BZ151" s="166">
        <v>35105</v>
      </c>
      <c r="CA151" s="166">
        <v>35105</v>
      </c>
      <c r="CC151" s="755" t="s">
        <v>1372</v>
      </c>
      <c r="CE151" s="166">
        <v>35105</v>
      </c>
      <c r="CF151" s="166"/>
      <c r="CJ151" s="886"/>
      <c r="CK151" s="1"/>
      <c r="CO151" s="16"/>
    </row>
    <row r="152" spans="1:93" x14ac:dyDescent="0.3">
      <c r="A152" s="12">
        <v>150</v>
      </c>
      <c r="B152" s="1" t="s">
        <v>2</v>
      </c>
      <c r="C152" s="35">
        <v>15005</v>
      </c>
      <c r="D152" s="35">
        <v>52511</v>
      </c>
      <c r="E152" s="47" t="s">
        <v>118</v>
      </c>
      <c r="F152" s="1" t="s">
        <v>2</v>
      </c>
      <c r="G152" s="1" t="s">
        <v>148</v>
      </c>
      <c r="H152" s="26">
        <v>1000</v>
      </c>
      <c r="I152" s="244">
        <v>-250</v>
      </c>
      <c r="J152" s="16">
        <f t="shared" si="79"/>
        <v>750</v>
      </c>
      <c r="K152" s="122">
        <f t="shared" si="88"/>
        <v>-0.25</v>
      </c>
      <c r="M152" s="117">
        <v>750</v>
      </c>
      <c r="N152" s="117">
        <v>750</v>
      </c>
      <c r="P152" s="259"/>
      <c r="R152" s="26">
        <v>750</v>
      </c>
      <c r="S152" s="26">
        <v>0</v>
      </c>
      <c r="U152" s="26">
        <v>750</v>
      </c>
      <c r="V152" s="244">
        <v>0</v>
      </c>
      <c r="W152" s="16">
        <f t="shared" si="80"/>
        <v>750</v>
      </c>
      <c r="X152" s="122">
        <f t="shared" si="81"/>
        <v>0</v>
      </c>
      <c r="Z152" s="117">
        <v>750</v>
      </c>
      <c r="AA152" s="117">
        <v>750</v>
      </c>
      <c r="AC152" s="259"/>
      <c r="AE152" s="26"/>
      <c r="AF152" s="200"/>
      <c r="AH152" s="290"/>
      <c r="AI152" s="244"/>
      <c r="AJ152" s="16">
        <f t="shared" si="82"/>
        <v>0</v>
      </c>
      <c r="AK152" s="122" t="str">
        <f t="shared" si="83"/>
        <v xml:space="preserve"> </v>
      </c>
      <c r="AM152" s="117">
        <v>0</v>
      </c>
      <c r="AN152" s="117">
        <v>0</v>
      </c>
      <c r="AP152" s="259"/>
      <c r="AR152" s="26">
        <v>0</v>
      </c>
      <c r="AS152" s="26">
        <v>0</v>
      </c>
      <c r="AU152" s="26">
        <f t="shared" si="84"/>
        <v>0</v>
      </c>
      <c r="AV152" s="244"/>
      <c r="AW152" s="16">
        <f t="shared" si="85"/>
        <v>0</v>
      </c>
      <c r="AX152" s="122" t="str">
        <f t="shared" si="89"/>
        <v xml:space="preserve"> </v>
      </c>
      <c r="AZ152" s="117">
        <v>0</v>
      </c>
      <c r="BA152" s="117">
        <v>0</v>
      </c>
      <c r="BC152" s="259"/>
      <c r="BE152" s="26">
        <v>0</v>
      </c>
      <c r="BF152" s="26"/>
      <c r="BH152" s="26">
        <v>0</v>
      </c>
      <c r="BI152" s="244"/>
      <c r="BJ152" s="16">
        <f t="shared" si="86"/>
        <v>0</v>
      </c>
      <c r="BK152" s="122" t="str">
        <f t="shared" si="90"/>
        <v xml:space="preserve"> </v>
      </c>
      <c r="BM152" s="117">
        <v>0</v>
      </c>
      <c r="BN152" s="117">
        <v>0</v>
      </c>
      <c r="BP152" s="259"/>
      <c r="BR152" s="117">
        <v>0</v>
      </c>
      <c r="BS152" s="26"/>
      <c r="BU152" s="26">
        <v>0</v>
      </c>
      <c r="BV152" s="244"/>
      <c r="BW152" s="576">
        <f t="shared" si="87"/>
        <v>0</v>
      </c>
      <c r="BX152" s="577" t="str">
        <f t="shared" si="91"/>
        <v xml:space="preserve"> </v>
      </c>
      <c r="BZ152" s="166">
        <v>0</v>
      </c>
      <c r="CA152" s="166">
        <v>0</v>
      </c>
      <c r="CC152" s="753"/>
      <c r="CE152" s="166">
        <v>0</v>
      </c>
      <c r="CF152" s="166"/>
      <c r="CJ152" s="886"/>
      <c r="CK152" s="1"/>
      <c r="CO152" s="16"/>
    </row>
    <row r="153" spans="1:93" x14ac:dyDescent="0.3">
      <c r="A153" s="12">
        <v>150</v>
      </c>
      <c r="B153" s="1"/>
      <c r="C153" s="35">
        <v>15005</v>
      </c>
      <c r="D153" s="35">
        <v>52512</v>
      </c>
      <c r="E153" s="47" t="s">
        <v>118</v>
      </c>
      <c r="F153" s="1"/>
      <c r="G153" s="1" t="s">
        <v>767</v>
      </c>
      <c r="H153" s="26">
        <v>0</v>
      </c>
      <c r="I153" s="244"/>
      <c r="J153" s="16">
        <v>0</v>
      </c>
      <c r="K153" s="122" t="str">
        <f t="shared" si="88"/>
        <v xml:space="preserve"> </v>
      </c>
      <c r="M153" s="117"/>
      <c r="N153" s="117"/>
      <c r="P153" s="259"/>
      <c r="R153" s="26"/>
      <c r="S153" s="26">
        <v>2831.12</v>
      </c>
      <c r="U153" s="26"/>
      <c r="V153" s="244"/>
      <c r="Z153" s="117"/>
      <c r="AA153" s="117"/>
      <c r="AC153" s="259"/>
      <c r="AE153" s="26">
        <v>3000</v>
      </c>
      <c r="AF153" s="200">
        <v>2951.18</v>
      </c>
      <c r="AH153" s="291">
        <v>3000</v>
      </c>
      <c r="AI153" s="244"/>
      <c r="AJ153" s="16">
        <f t="shared" si="82"/>
        <v>3000</v>
      </c>
      <c r="AK153" s="122">
        <f t="shared" si="83"/>
        <v>0</v>
      </c>
      <c r="AM153" s="117">
        <v>3000</v>
      </c>
      <c r="AN153" s="117">
        <v>3000</v>
      </c>
      <c r="AP153" s="259"/>
      <c r="AR153" s="26">
        <v>3000</v>
      </c>
      <c r="AS153" s="26">
        <v>2614.39</v>
      </c>
      <c r="AU153" s="26">
        <f t="shared" si="84"/>
        <v>3000</v>
      </c>
      <c r="AV153" s="244"/>
      <c r="AW153" s="16">
        <f t="shared" si="85"/>
        <v>3000</v>
      </c>
      <c r="AX153" s="122">
        <f t="shared" si="89"/>
        <v>0</v>
      </c>
      <c r="AZ153" s="117">
        <v>3000</v>
      </c>
      <c r="BA153" s="117">
        <v>3000</v>
      </c>
      <c r="BC153" s="259"/>
      <c r="BE153" s="26">
        <v>3000</v>
      </c>
      <c r="BF153" s="26">
        <v>2934.64</v>
      </c>
      <c r="BH153" s="26">
        <v>3000</v>
      </c>
      <c r="BI153" s="244"/>
      <c r="BJ153" s="16">
        <f t="shared" si="86"/>
        <v>3000</v>
      </c>
      <c r="BK153" s="122">
        <f t="shared" si="90"/>
        <v>0</v>
      </c>
      <c r="BM153" s="117">
        <v>3000</v>
      </c>
      <c r="BN153" s="117">
        <v>3000</v>
      </c>
      <c r="BP153" s="259"/>
      <c r="BR153" s="117">
        <v>3000</v>
      </c>
      <c r="BS153" s="26">
        <v>938.19</v>
      </c>
      <c r="BU153" s="26">
        <v>3000</v>
      </c>
      <c r="BV153" s="244"/>
      <c r="BW153" s="576">
        <f t="shared" si="87"/>
        <v>3000</v>
      </c>
      <c r="BX153" s="577">
        <f t="shared" si="91"/>
        <v>0</v>
      </c>
      <c r="BZ153" s="166">
        <v>3000</v>
      </c>
      <c r="CA153" s="166">
        <v>3000</v>
      </c>
      <c r="CC153" s="755" t="s">
        <v>1372</v>
      </c>
      <c r="CE153" s="166">
        <v>3000</v>
      </c>
      <c r="CF153" s="166"/>
      <c r="CJ153" s="886"/>
      <c r="CK153" s="1"/>
      <c r="CO153" s="16"/>
    </row>
    <row r="154" spans="1:93" x14ac:dyDescent="0.3">
      <c r="A154" s="12">
        <v>150</v>
      </c>
      <c r="B154" s="1" t="s">
        <v>2</v>
      </c>
      <c r="C154" s="35">
        <v>15005</v>
      </c>
      <c r="D154" s="35">
        <v>53044</v>
      </c>
      <c r="E154" s="47" t="s">
        <v>118</v>
      </c>
      <c r="F154" s="1" t="s">
        <v>2</v>
      </c>
      <c r="G154" s="293" t="s">
        <v>891</v>
      </c>
      <c r="H154" s="26"/>
      <c r="I154" s="244"/>
      <c r="M154" s="117"/>
      <c r="N154" s="117"/>
      <c r="P154" s="259"/>
      <c r="R154" s="26"/>
      <c r="S154" s="26"/>
      <c r="U154" s="26"/>
      <c r="V154" s="244"/>
      <c r="Z154" s="117"/>
      <c r="AA154" s="117"/>
      <c r="AC154" s="259"/>
      <c r="AE154" s="26"/>
      <c r="AF154" s="200"/>
      <c r="AH154" s="146">
        <v>48681</v>
      </c>
      <c r="AI154" s="244"/>
      <c r="AJ154" s="16">
        <f t="shared" si="82"/>
        <v>48681</v>
      </c>
      <c r="AK154" s="122">
        <f t="shared" si="83"/>
        <v>0</v>
      </c>
      <c r="AM154" s="117">
        <v>48681</v>
      </c>
      <c r="AN154" s="117">
        <v>48681</v>
      </c>
      <c r="AP154" s="266"/>
      <c r="AR154" s="26">
        <v>48681</v>
      </c>
      <c r="AS154" s="26">
        <v>48680.89</v>
      </c>
      <c r="AU154" s="26">
        <f t="shared" si="84"/>
        <v>48681</v>
      </c>
      <c r="AV154" s="244">
        <v>1461</v>
      </c>
      <c r="AW154" s="16">
        <f t="shared" si="85"/>
        <v>50142</v>
      </c>
      <c r="AX154" s="122">
        <f t="shared" si="89"/>
        <v>3.0011708880261292E-2</v>
      </c>
      <c r="AZ154" s="117">
        <v>50142</v>
      </c>
      <c r="BA154" s="117">
        <v>50142</v>
      </c>
      <c r="BC154" s="266"/>
      <c r="BE154" s="26">
        <v>50142</v>
      </c>
      <c r="BF154" s="26">
        <v>50141.33</v>
      </c>
      <c r="BH154" s="26">
        <v>50142</v>
      </c>
      <c r="BI154" s="244"/>
      <c r="BJ154" s="16">
        <f t="shared" si="86"/>
        <v>50142</v>
      </c>
      <c r="BK154" s="122">
        <f t="shared" si="90"/>
        <v>0</v>
      </c>
      <c r="BM154" s="117">
        <v>50142</v>
      </c>
      <c r="BN154" s="117">
        <f>50142+1504</f>
        <v>51646</v>
      </c>
      <c r="BP154" s="266" t="s">
        <v>1193</v>
      </c>
      <c r="BR154" s="117">
        <f>50142+1504</f>
        <v>51646</v>
      </c>
      <c r="BS154" s="26">
        <v>51144.160000000003</v>
      </c>
      <c r="BU154" s="26">
        <f>50142+1504</f>
        <v>51646</v>
      </c>
      <c r="BV154" s="828">
        <v>1550</v>
      </c>
      <c r="BW154" s="576">
        <f t="shared" si="87"/>
        <v>53196</v>
      </c>
      <c r="BX154" s="577">
        <f t="shared" si="91"/>
        <v>3.0012004801920768E-2</v>
      </c>
      <c r="BZ154" s="166">
        <v>53196</v>
      </c>
      <c r="CA154" s="166">
        <v>53196</v>
      </c>
      <c r="CC154" s="753" t="s">
        <v>1532</v>
      </c>
      <c r="CE154" s="166">
        <v>53196</v>
      </c>
      <c r="CF154" s="166"/>
      <c r="CJ154" s="886"/>
      <c r="CK154" s="1"/>
      <c r="CO154" s="16"/>
    </row>
    <row r="155" spans="1:93" x14ac:dyDescent="0.3">
      <c r="A155" s="12">
        <v>150</v>
      </c>
      <c r="B155" s="1" t="s">
        <v>2</v>
      </c>
      <c r="C155" s="35">
        <v>15005</v>
      </c>
      <c r="D155" s="35">
        <v>53045</v>
      </c>
      <c r="E155" s="47" t="s">
        <v>118</v>
      </c>
      <c r="F155" s="1"/>
      <c r="G155" s="293" t="s">
        <v>916</v>
      </c>
      <c r="H155" s="26"/>
      <c r="I155" s="244"/>
      <c r="M155" s="117"/>
      <c r="N155" s="117"/>
      <c r="P155" s="259"/>
      <c r="R155" s="26"/>
      <c r="S155" s="26"/>
      <c r="U155" s="26"/>
      <c r="V155" s="244"/>
      <c r="Z155" s="117"/>
      <c r="AA155" s="117"/>
      <c r="AC155" s="259"/>
      <c r="AE155" s="26"/>
      <c r="AF155" s="200">
        <v>1598.12</v>
      </c>
      <c r="AH155" s="146"/>
      <c r="AI155" s="244"/>
      <c r="AM155" s="117"/>
      <c r="AN155" s="117"/>
      <c r="AP155" s="266"/>
      <c r="AR155" s="26"/>
      <c r="AS155" s="26">
        <v>0</v>
      </c>
      <c r="AU155" s="26">
        <f t="shared" si="84"/>
        <v>0</v>
      </c>
      <c r="AV155" s="244"/>
      <c r="AW155" s="16">
        <f t="shared" si="85"/>
        <v>0</v>
      </c>
      <c r="AZ155" s="117">
        <v>0</v>
      </c>
      <c r="BA155" s="117">
        <v>0</v>
      </c>
      <c r="BC155" s="266"/>
      <c r="BE155" s="26">
        <v>0</v>
      </c>
      <c r="BF155" s="26"/>
      <c r="BH155" s="26">
        <v>0</v>
      </c>
      <c r="BI155" s="244"/>
      <c r="BJ155" s="16">
        <f t="shared" si="86"/>
        <v>0</v>
      </c>
      <c r="BM155" s="117">
        <v>0</v>
      </c>
      <c r="BN155" s="117">
        <v>0</v>
      </c>
      <c r="BP155" s="259"/>
      <c r="BR155" s="117">
        <v>0</v>
      </c>
      <c r="BS155" s="26"/>
      <c r="BU155" s="26">
        <v>0</v>
      </c>
      <c r="BV155" s="244"/>
      <c r="BW155" s="576">
        <f t="shared" si="87"/>
        <v>0</v>
      </c>
      <c r="BZ155" s="166">
        <v>0</v>
      </c>
      <c r="CA155" s="166"/>
      <c r="CC155" s="430"/>
      <c r="CE155" s="166">
        <v>0</v>
      </c>
      <c r="CF155" s="166"/>
      <c r="CJ155" s="886"/>
      <c r="CK155" s="1"/>
      <c r="CO155" s="16"/>
    </row>
    <row r="156" spans="1:93" x14ac:dyDescent="0.3">
      <c r="A156" s="12">
        <v>150</v>
      </c>
      <c r="B156" s="1" t="s">
        <v>2</v>
      </c>
      <c r="C156" s="35">
        <v>15005</v>
      </c>
      <c r="D156" s="35">
        <v>53046</v>
      </c>
      <c r="E156" s="47" t="s">
        <v>118</v>
      </c>
      <c r="F156" s="1" t="s">
        <v>2</v>
      </c>
      <c r="G156" s="293" t="s">
        <v>892</v>
      </c>
      <c r="H156" s="26">
        <v>85321</v>
      </c>
      <c r="I156" s="244">
        <v>10000</v>
      </c>
      <c r="J156" s="16">
        <f>H156+I156</f>
        <v>95321</v>
      </c>
      <c r="K156" s="122">
        <f>IF(H156=0," ",(J156-H156)/H156)</f>
        <v>0.11720443970417599</v>
      </c>
      <c r="M156" s="117">
        <v>95321</v>
      </c>
      <c r="N156" s="117">
        <v>95321</v>
      </c>
      <c r="P156" s="259"/>
      <c r="R156" s="26">
        <v>95321</v>
      </c>
      <c r="S156" s="26">
        <v>87327.72</v>
      </c>
      <c r="U156" s="26">
        <v>95321</v>
      </c>
      <c r="V156" s="244">
        <v>0</v>
      </c>
      <c r="W156" s="16">
        <f>U156+V156</f>
        <v>95321</v>
      </c>
      <c r="X156" s="122">
        <f>IF(U156=0," ",(W156-U156)/U156)</f>
        <v>0</v>
      </c>
      <c r="Z156" s="117">
        <v>95321</v>
      </c>
      <c r="AA156" s="117">
        <v>95321</v>
      </c>
      <c r="AC156" s="259"/>
      <c r="AE156" s="26">
        <v>95321</v>
      </c>
      <c r="AF156" s="200">
        <v>90848.75</v>
      </c>
      <c r="AH156" s="146">
        <f>95321-48681</f>
        <v>46640</v>
      </c>
      <c r="AI156" s="244">
        <v>4900</v>
      </c>
      <c r="AJ156" s="16">
        <f t="shared" si="82"/>
        <v>51540</v>
      </c>
      <c r="AK156" s="122">
        <f t="shared" si="83"/>
        <v>0.10506003430531732</v>
      </c>
      <c r="AM156" s="117">
        <f>51540+11000</f>
        <v>62540</v>
      </c>
      <c r="AN156" s="117">
        <f>51540+11000</f>
        <v>62540</v>
      </c>
      <c r="AP156" s="266" t="s">
        <v>819</v>
      </c>
      <c r="AR156" s="26">
        <f>51540+11000</f>
        <v>62540</v>
      </c>
      <c r="AS156" s="26">
        <v>46140.77</v>
      </c>
      <c r="AU156" s="26">
        <f t="shared" si="84"/>
        <v>62540</v>
      </c>
      <c r="AV156" s="244"/>
      <c r="AW156" s="16">
        <f t="shared" si="85"/>
        <v>62540</v>
      </c>
      <c r="AX156" s="122">
        <f t="shared" si="89"/>
        <v>0</v>
      </c>
      <c r="AZ156" s="117">
        <v>62540</v>
      </c>
      <c r="BA156" s="117">
        <v>62540</v>
      </c>
      <c r="BC156" s="266"/>
      <c r="BE156" s="26">
        <v>62540</v>
      </c>
      <c r="BF156" s="26">
        <v>57083.96</v>
      </c>
      <c r="BH156" s="26">
        <v>62540</v>
      </c>
      <c r="BI156" s="244">
        <v>-12850</v>
      </c>
      <c r="BJ156" s="16">
        <f t="shared" si="86"/>
        <v>49690</v>
      </c>
      <c r="BK156" s="122">
        <f>IF(BH156=0," ",(BJ156-BH156)/BH156)</f>
        <v>-0.20546850015989768</v>
      </c>
      <c r="BM156" s="117">
        <v>49690</v>
      </c>
      <c r="BN156" s="117">
        <v>49690</v>
      </c>
      <c r="BP156" s="259" t="s">
        <v>1123</v>
      </c>
      <c r="BR156" s="117">
        <v>49690</v>
      </c>
      <c r="BS156" s="26">
        <v>15173.15</v>
      </c>
      <c r="BU156" s="26">
        <v>49690</v>
      </c>
      <c r="BV156" s="244"/>
      <c r="BW156" s="576">
        <f t="shared" si="87"/>
        <v>49690</v>
      </c>
      <c r="BX156" s="577">
        <f>IF(BU156=0," ",(BW156-BU156)/BU156)</f>
        <v>0</v>
      </c>
      <c r="BZ156" s="166">
        <v>49690</v>
      </c>
      <c r="CA156" s="166">
        <f>49690+3300</f>
        <v>52990</v>
      </c>
      <c r="CC156" s="430" t="s">
        <v>1657</v>
      </c>
      <c r="CE156" s="247">
        <f>49690+3300</f>
        <v>52990</v>
      </c>
      <c r="CF156" s="166"/>
      <c r="CH156" s="813">
        <v>3300</v>
      </c>
      <c r="CJ156" s="886"/>
      <c r="CK156" s="1"/>
      <c r="CO156" s="16"/>
    </row>
    <row r="157" spans="1:93" x14ac:dyDescent="0.3">
      <c r="A157" s="12">
        <v>150</v>
      </c>
      <c r="B157" s="1" t="s">
        <v>2</v>
      </c>
      <c r="C157" s="35">
        <v>15005</v>
      </c>
      <c r="D157" s="35">
        <v>53048</v>
      </c>
      <c r="E157" s="47" t="s">
        <v>118</v>
      </c>
      <c r="F157" s="1" t="s">
        <v>2</v>
      </c>
      <c r="G157" s="293" t="s">
        <v>893</v>
      </c>
      <c r="H157" s="26"/>
      <c r="I157" s="244"/>
      <c r="K157" s="122" t="str">
        <f>IF(H157=0," ",(J157-H157)/H157)</f>
        <v xml:space="preserve"> </v>
      </c>
      <c r="M157" s="117"/>
      <c r="N157" s="117"/>
      <c r="P157" s="259"/>
      <c r="R157" s="26"/>
      <c r="S157" s="26"/>
      <c r="U157" s="26"/>
      <c r="V157" s="244"/>
      <c r="Z157" s="117"/>
      <c r="AA157" s="117"/>
      <c r="AC157" s="259"/>
      <c r="AE157" s="26"/>
      <c r="AF157" s="200"/>
      <c r="AH157" s="26"/>
      <c r="AI157" s="244"/>
      <c r="AK157" s="122" t="str">
        <f t="shared" si="83"/>
        <v xml:space="preserve"> </v>
      </c>
      <c r="AM157" s="185">
        <v>25000</v>
      </c>
      <c r="AN157" s="185">
        <v>25000</v>
      </c>
      <c r="AP157" s="289" t="s">
        <v>896</v>
      </c>
      <c r="AR157" s="26">
        <v>25000</v>
      </c>
      <c r="AS157" s="26">
        <v>12297.5</v>
      </c>
      <c r="AU157" s="26">
        <f t="shared" si="84"/>
        <v>25000</v>
      </c>
      <c r="AV157" s="244"/>
      <c r="AW157" s="16">
        <f t="shared" si="85"/>
        <v>25000</v>
      </c>
      <c r="AX157" s="122">
        <f t="shared" si="89"/>
        <v>0</v>
      </c>
      <c r="AZ157" s="117">
        <v>25000</v>
      </c>
      <c r="BA157" s="117">
        <v>25000</v>
      </c>
      <c r="BC157" s="289"/>
      <c r="BE157" s="26">
        <v>25000</v>
      </c>
      <c r="BF157" s="26">
        <v>4502.5</v>
      </c>
      <c r="BH157" s="26">
        <v>25000</v>
      </c>
      <c r="BI157" s="244"/>
      <c r="BJ157" s="16">
        <f t="shared" si="86"/>
        <v>25000</v>
      </c>
      <c r="BK157" s="122">
        <f>IF(BH157=0," ",(BJ157-BH157)/BH157)</f>
        <v>0</v>
      </c>
      <c r="BM157" s="117">
        <v>25000</v>
      </c>
      <c r="BN157" s="117">
        <v>25000</v>
      </c>
      <c r="BP157" s="301"/>
      <c r="BR157" s="117">
        <v>25000</v>
      </c>
      <c r="BS157" s="26">
        <v>2972.5</v>
      </c>
      <c r="BU157" s="26">
        <v>25000</v>
      </c>
      <c r="BV157" s="403">
        <v>-5000</v>
      </c>
      <c r="BW157" s="576">
        <f t="shared" si="87"/>
        <v>20000</v>
      </c>
      <c r="BX157" s="577">
        <f>IF(BU157=0," ",(BW157-BU157)/BU157)</f>
        <v>-0.2</v>
      </c>
      <c r="BZ157" s="911">
        <v>25000</v>
      </c>
      <c r="CA157" s="911">
        <v>15000</v>
      </c>
      <c r="CC157" s="755" t="s">
        <v>1642</v>
      </c>
      <c r="CE157" s="911">
        <v>15000</v>
      </c>
      <c r="CF157" s="166"/>
      <c r="CJ157" s="886"/>
      <c r="CK157" s="1"/>
      <c r="CO157" s="16"/>
    </row>
    <row r="158" spans="1:93" x14ac:dyDescent="0.3">
      <c r="A158" s="12">
        <v>150</v>
      </c>
      <c r="B158" s="1" t="s">
        <v>2</v>
      </c>
      <c r="C158" s="35">
        <v>15005</v>
      </c>
      <c r="D158" s="35">
        <v>53050</v>
      </c>
      <c r="E158" s="47" t="s">
        <v>118</v>
      </c>
      <c r="F158" s="1" t="s">
        <v>2</v>
      </c>
      <c r="G158" s="1" t="s">
        <v>149</v>
      </c>
      <c r="H158" s="26">
        <v>4500</v>
      </c>
      <c r="I158" s="244">
        <v>400</v>
      </c>
      <c r="J158" s="16">
        <f>H158+I158</f>
        <v>4900</v>
      </c>
      <c r="K158" s="122">
        <f>IF(H158=0," ",(J158-H158)/H158)</f>
        <v>8.8888888888888892E-2</v>
      </c>
      <c r="M158" s="117">
        <v>4900</v>
      </c>
      <c r="N158" s="117">
        <v>4900</v>
      </c>
      <c r="P158" s="259"/>
      <c r="R158" s="26">
        <v>4900</v>
      </c>
      <c r="S158" s="26">
        <v>2450</v>
      </c>
      <c r="U158" s="26">
        <v>4900</v>
      </c>
      <c r="V158" s="244">
        <v>0</v>
      </c>
      <c r="W158" s="16">
        <f>U158+V158</f>
        <v>4900</v>
      </c>
      <c r="X158" s="122">
        <f>IF(U158=0," ",(W158-U158)/U158)</f>
        <v>0</v>
      </c>
      <c r="Z158" s="117">
        <v>4900</v>
      </c>
      <c r="AA158" s="117">
        <v>4900</v>
      </c>
      <c r="AC158" s="259"/>
      <c r="AE158" s="26">
        <v>4900</v>
      </c>
      <c r="AF158" s="200">
        <v>1425</v>
      </c>
      <c r="AH158" s="26">
        <v>4900</v>
      </c>
      <c r="AI158" s="244">
        <v>-4900</v>
      </c>
      <c r="AJ158" s="16">
        <f>AH158+AI158</f>
        <v>0</v>
      </c>
      <c r="AK158" s="122">
        <f t="shared" si="83"/>
        <v>-1</v>
      </c>
      <c r="AM158" s="117">
        <v>0</v>
      </c>
      <c r="AN158" s="117">
        <v>0</v>
      </c>
      <c r="AP158" s="259"/>
      <c r="AR158" s="26">
        <v>0</v>
      </c>
      <c r="AS158" s="26">
        <v>0</v>
      </c>
      <c r="AU158" s="26">
        <f t="shared" si="84"/>
        <v>0</v>
      </c>
      <c r="AV158" s="244"/>
      <c r="AW158" s="16">
        <f t="shared" si="85"/>
        <v>0</v>
      </c>
      <c r="AX158" s="122" t="str">
        <f t="shared" si="89"/>
        <v xml:space="preserve"> </v>
      </c>
      <c r="AZ158" s="117">
        <v>0</v>
      </c>
      <c r="BA158" s="117">
        <v>0</v>
      </c>
      <c r="BC158" s="259"/>
      <c r="BE158" s="26">
        <v>0</v>
      </c>
      <c r="BF158" s="26"/>
      <c r="BH158" s="26">
        <v>0</v>
      </c>
      <c r="BI158" s="244"/>
      <c r="BJ158" s="16">
        <f t="shared" si="86"/>
        <v>0</v>
      </c>
      <c r="BK158" s="122" t="str">
        <f>IF(BH158=0," ",(BJ158-BH158)/BH158)</f>
        <v xml:space="preserve"> </v>
      </c>
      <c r="BM158" s="117">
        <v>0</v>
      </c>
      <c r="BN158" s="117">
        <v>0</v>
      </c>
      <c r="BP158" s="259"/>
      <c r="BR158" s="117">
        <v>0</v>
      </c>
      <c r="BS158" s="26"/>
      <c r="BU158" s="26">
        <v>0</v>
      </c>
      <c r="BV158" s="244"/>
      <c r="BW158" s="576">
        <f t="shared" si="87"/>
        <v>0</v>
      </c>
      <c r="BX158" s="577" t="str">
        <f>IF(BU158=0," ",(BW158-BU158)/BU158)</f>
        <v xml:space="preserve"> </v>
      </c>
      <c r="BZ158" s="166">
        <v>0</v>
      </c>
      <c r="CA158" s="166">
        <v>0</v>
      </c>
      <c r="CC158" s="753"/>
      <c r="CE158" s="166">
        <v>0</v>
      </c>
      <c r="CF158" s="166"/>
      <c r="CJ158" s="886"/>
      <c r="CK158" s="1"/>
      <c r="CO158" s="16"/>
    </row>
    <row r="159" spans="1:93" x14ac:dyDescent="0.3">
      <c r="A159" s="12">
        <v>150</v>
      </c>
      <c r="B159" s="1" t="s">
        <v>2</v>
      </c>
      <c r="C159" s="35">
        <v>15005</v>
      </c>
      <c r="D159" s="35">
        <v>53052</v>
      </c>
      <c r="E159" s="47" t="s">
        <v>118</v>
      </c>
      <c r="F159" s="1"/>
      <c r="G159" s="1" t="s">
        <v>890</v>
      </c>
      <c r="H159" s="26"/>
      <c r="I159" s="244"/>
      <c r="M159" s="117"/>
      <c r="N159" s="117"/>
      <c r="P159" s="259"/>
      <c r="R159" s="26"/>
      <c r="S159" s="26"/>
      <c r="U159" s="26"/>
      <c r="V159" s="244"/>
      <c r="Z159" s="117"/>
      <c r="AA159" s="117"/>
      <c r="AC159" s="259"/>
      <c r="AE159" s="26"/>
      <c r="AF159" s="200"/>
      <c r="AH159" s="26"/>
      <c r="AI159" s="244"/>
      <c r="AJ159" s="16">
        <f>AH159+AI159</f>
        <v>0</v>
      </c>
      <c r="AK159" s="122" t="str">
        <f t="shared" si="83"/>
        <v xml:space="preserve"> </v>
      </c>
      <c r="AM159" s="185">
        <v>25000</v>
      </c>
      <c r="AN159" s="185">
        <v>25000</v>
      </c>
      <c r="AP159" s="289" t="s">
        <v>897</v>
      </c>
      <c r="AR159" s="26">
        <v>25000</v>
      </c>
      <c r="AS159" s="26">
        <v>21975</v>
      </c>
      <c r="AU159" s="26">
        <f t="shared" si="84"/>
        <v>25000</v>
      </c>
      <c r="AV159" s="244"/>
      <c r="AW159" s="336">
        <f t="shared" si="85"/>
        <v>25000</v>
      </c>
      <c r="AX159" s="122">
        <f t="shared" si="89"/>
        <v>0</v>
      </c>
      <c r="AZ159" s="117">
        <v>25000</v>
      </c>
      <c r="BA159" s="117">
        <v>25000</v>
      </c>
      <c r="BC159" s="266" t="s">
        <v>1019</v>
      </c>
      <c r="BE159" s="26">
        <v>25000</v>
      </c>
      <c r="BF159" s="26">
        <v>23320.13</v>
      </c>
      <c r="BH159" s="26">
        <v>25000</v>
      </c>
      <c r="BI159" s="244"/>
      <c r="BJ159" s="16">
        <f t="shared" si="86"/>
        <v>25000</v>
      </c>
      <c r="BK159" s="122">
        <f>IF(BH159=0," ",(BJ159-BH159)/BH159)</f>
        <v>0</v>
      </c>
      <c r="BM159" s="117">
        <v>25000</v>
      </c>
      <c r="BN159" s="117">
        <v>25000</v>
      </c>
      <c r="BP159" s="524" t="s">
        <v>1124</v>
      </c>
      <c r="BR159" s="117">
        <v>25000</v>
      </c>
      <c r="BS159" s="26">
        <v>8400</v>
      </c>
      <c r="BU159" s="26">
        <v>25000</v>
      </c>
      <c r="BV159" s="403">
        <v>5000</v>
      </c>
      <c r="BW159" s="576">
        <f t="shared" si="87"/>
        <v>30000</v>
      </c>
      <c r="BX159" s="577">
        <f>IF(BU159=0," ",(BW159-BU159)/BU159)</f>
        <v>0.2</v>
      </c>
      <c r="BZ159" s="911">
        <v>25000</v>
      </c>
      <c r="CA159" s="911">
        <v>25000</v>
      </c>
      <c r="CC159" s="755" t="s">
        <v>1588</v>
      </c>
      <c r="CE159" s="911">
        <v>25000</v>
      </c>
      <c r="CF159" s="166"/>
      <c r="CJ159" s="886"/>
      <c r="CK159" s="1"/>
      <c r="CO159" s="16"/>
    </row>
    <row r="160" spans="1:93" x14ac:dyDescent="0.3">
      <c r="A160" s="12">
        <v>150</v>
      </c>
      <c r="B160" s="1" t="s">
        <v>2</v>
      </c>
      <c r="C160" s="35">
        <v>15005</v>
      </c>
      <c r="D160" s="35">
        <v>53400</v>
      </c>
      <c r="E160" s="47" t="s">
        <v>118</v>
      </c>
      <c r="F160" s="1" t="s">
        <v>2</v>
      </c>
      <c r="G160" s="1" t="s">
        <v>588</v>
      </c>
      <c r="H160" s="26"/>
      <c r="I160" s="244">
        <v>24500</v>
      </c>
      <c r="J160" s="16">
        <f>H160+I160</f>
        <v>24500</v>
      </c>
      <c r="K160" s="122" t="str">
        <f>IF(H160=0," ",(J160-H160)/H160)</f>
        <v xml:space="preserve"> </v>
      </c>
      <c r="M160" s="117">
        <v>24500</v>
      </c>
      <c r="N160" s="117">
        <v>24500</v>
      </c>
      <c r="P160" s="259"/>
      <c r="R160" s="26">
        <v>24500</v>
      </c>
      <c r="S160" s="26">
        <v>24741.4</v>
      </c>
      <c r="U160" s="26">
        <v>24500</v>
      </c>
      <c r="V160" s="244">
        <v>0</v>
      </c>
      <c r="W160" s="16">
        <f>U160+V160</f>
        <v>24500</v>
      </c>
      <c r="X160" s="122">
        <f>IF(U160=0," ",(W160-U160)/U160)</f>
        <v>0</v>
      </c>
      <c r="Z160" s="117">
        <v>24500</v>
      </c>
      <c r="AA160" s="117">
        <v>24500</v>
      </c>
      <c r="AC160" s="259"/>
      <c r="AE160" s="26">
        <v>24500</v>
      </c>
      <c r="AF160" s="200">
        <v>32758.54</v>
      </c>
      <c r="AH160" s="26">
        <v>24500</v>
      </c>
      <c r="AI160" s="244"/>
      <c r="AJ160" s="16">
        <f>AH160+AI160</f>
        <v>24500</v>
      </c>
      <c r="AK160" s="122">
        <f t="shared" si="83"/>
        <v>0</v>
      </c>
      <c r="AM160" s="117">
        <f>24500+3500</f>
        <v>28000</v>
      </c>
      <c r="AN160" s="117">
        <f>24500+3500</f>
        <v>28000</v>
      </c>
      <c r="AP160" s="266" t="s">
        <v>820</v>
      </c>
      <c r="AR160" s="26">
        <f>24500+3500</f>
        <v>28000</v>
      </c>
      <c r="AS160" s="26">
        <v>32624.17</v>
      </c>
      <c r="AU160" s="26">
        <f t="shared" si="84"/>
        <v>28000</v>
      </c>
      <c r="AV160" s="244"/>
      <c r="AW160" s="16">
        <f t="shared" si="85"/>
        <v>28000</v>
      </c>
      <c r="AX160" s="122">
        <f t="shared" si="89"/>
        <v>0</v>
      </c>
      <c r="AZ160" s="117">
        <v>28000</v>
      </c>
      <c r="BA160" s="117">
        <v>28000</v>
      </c>
      <c r="BC160" s="266"/>
      <c r="BE160" s="26">
        <v>28000</v>
      </c>
      <c r="BF160" s="26">
        <v>30639.85</v>
      </c>
      <c r="BH160" s="26">
        <v>28000</v>
      </c>
      <c r="BI160" s="244">
        <v>-8000</v>
      </c>
      <c r="BJ160" s="16">
        <f t="shared" si="86"/>
        <v>20000</v>
      </c>
      <c r="BK160" s="122">
        <f t="shared" ref="BK160:BK169" si="92">IF(BH160=0," ",(BJ160-BH160)/BH160)</f>
        <v>-0.2857142857142857</v>
      </c>
      <c r="BM160" s="117">
        <v>20000</v>
      </c>
      <c r="BN160" s="117">
        <v>20000</v>
      </c>
      <c r="BP160" s="259" t="s">
        <v>1136</v>
      </c>
      <c r="BR160" s="117">
        <v>20000</v>
      </c>
      <c r="BS160" s="26">
        <v>9415.0499999999993</v>
      </c>
      <c r="BU160" s="26">
        <v>20000</v>
      </c>
      <c r="BV160" s="244"/>
      <c r="BW160" s="576">
        <f t="shared" si="87"/>
        <v>20000</v>
      </c>
      <c r="BX160" s="577">
        <f t="shared" ref="BX160:BX169" si="93">IF(BU160=0," ",(BW160-BU160)/BU160)</f>
        <v>0</v>
      </c>
      <c r="BZ160" s="166">
        <v>20000</v>
      </c>
      <c r="CA160" s="166">
        <v>20000</v>
      </c>
      <c r="CC160" s="753"/>
      <c r="CE160" s="166">
        <v>20000</v>
      </c>
      <c r="CF160" s="166"/>
      <c r="CJ160" s="886"/>
      <c r="CK160" s="1"/>
      <c r="CO160" s="16"/>
    </row>
    <row r="161" spans="1:93" x14ac:dyDescent="0.3">
      <c r="A161" s="12">
        <v>150</v>
      </c>
      <c r="B161" s="1" t="s">
        <v>2</v>
      </c>
      <c r="C161" s="35">
        <v>15005</v>
      </c>
      <c r="D161" s="35">
        <v>53440</v>
      </c>
      <c r="E161" s="47" t="s">
        <v>118</v>
      </c>
      <c r="F161" s="1" t="s">
        <v>2</v>
      </c>
      <c r="G161" s="1" t="s">
        <v>150</v>
      </c>
      <c r="H161" s="26">
        <v>1975</v>
      </c>
      <c r="I161" s="244">
        <v>-159.96</v>
      </c>
      <c r="J161" s="16">
        <f>H161+I161</f>
        <v>1815.04</v>
      </c>
      <c r="K161" s="122">
        <f>IF(H161=0," ",(J161-H161)/H161)</f>
        <v>-8.0992405063291154E-2</v>
      </c>
      <c r="M161" s="117">
        <v>1815</v>
      </c>
      <c r="N161" s="117">
        <v>1815</v>
      </c>
      <c r="P161" s="259"/>
      <c r="R161" s="26">
        <v>1815</v>
      </c>
      <c r="S161" s="26">
        <v>1815</v>
      </c>
      <c r="U161" s="26">
        <v>1815</v>
      </c>
      <c r="V161" s="244">
        <v>0</v>
      </c>
      <c r="W161" s="16">
        <f>U161+V161</f>
        <v>1815</v>
      </c>
      <c r="X161" s="122">
        <f>IF(U161=0," ",(W161-U161)/U161)</f>
        <v>0</v>
      </c>
      <c r="Z161" s="117">
        <v>1815</v>
      </c>
      <c r="AA161" s="117">
        <v>1815</v>
      </c>
      <c r="AC161" s="259"/>
      <c r="AE161" s="26">
        <v>1815</v>
      </c>
      <c r="AF161" s="200">
        <v>1815</v>
      </c>
      <c r="AH161" s="26">
        <v>1815</v>
      </c>
      <c r="AI161" s="244"/>
      <c r="AJ161" s="16">
        <f>AH161+AI161</f>
        <v>1815</v>
      </c>
      <c r="AK161" s="122">
        <f t="shared" si="83"/>
        <v>0</v>
      </c>
      <c r="AM161" s="117">
        <v>1815</v>
      </c>
      <c r="AN161" s="117">
        <v>1815</v>
      </c>
      <c r="AP161" s="259"/>
      <c r="AR161" s="26">
        <v>1815</v>
      </c>
      <c r="AS161" s="26">
        <v>1815</v>
      </c>
      <c r="AU161" s="26">
        <f t="shared" si="84"/>
        <v>1815</v>
      </c>
      <c r="AV161" s="244"/>
      <c r="AW161" s="16">
        <f t="shared" si="85"/>
        <v>1815</v>
      </c>
      <c r="AX161" s="122">
        <f t="shared" si="89"/>
        <v>0</v>
      </c>
      <c r="AZ161" s="117">
        <v>1815</v>
      </c>
      <c r="BA161" s="117">
        <v>1815</v>
      </c>
      <c r="BC161" s="259"/>
      <c r="BE161" s="26">
        <v>1815</v>
      </c>
      <c r="BF161" s="26">
        <v>2362.0500000000002</v>
      </c>
      <c r="BH161" s="26">
        <v>1815</v>
      </c>
      <c r="BI161" s="244"/>
      <c r="BJ161" s="16">
        <f t="shared" si="86"/>
        <v>1815</v>
      </c>
      <c r="BK161" s="122">
        <f t="shared" si="92"/>
        <v>0</v>
      </c>
      <c r="BM161" s="117">
        <v>1815</v>
      </c>
      <c r="BN161" s="117">
        <f>1815+690</f>
        <v>2505</v>
      </c>
      <c r="BP161" s="266" t="s">
        <v>1194</v>
      </c>
      <c r="BR161" s="117">
        <f>1815+690</f>
        <v>2505</v>
      </c>
      <c r="BS161" s="26">
        <v>1251.5999999999999</v>
      </c>
      <c r="BU161" s="26">
        <f>1815+690</f>
        <v>2505</v>
      </c>
      <c r="BV161" s="244"/>
      <c r="BW161" s="576">
        <f t="shared" si="87"/>
        <v>2505</v>
      </c>
      <c r="BX161" s="577">
        <f t="shared" si="93"/>
        <v>0</v>
      </c>
      <c r="BZ161" s="166">
        <v>2505</v>
      </c>
      <c r="CA161" s="166">
        <v>2505</v>
      </c>
      <c r="CC161" s="753"/>
      <c r="CE161" s="166">
        <v>2505</v>
      </c>
      <c r="CF161" s="166"/>
      <c r="CJ161" s="886"/>
      <c r="CK161" s="1"/>
      <c r="CO161" s="16"/>
    </row>
    <row r="162" spans="1:93" x14ac:dyDescent="0.3">
      <c r="A162" s="12">
        <v>150</v>
      </c>
      <c r="B162" s="1" t="s">
        <v>2</v>
      </c>
      <c r="C162" s="35">
        <v>15005</v>
      </c>
      <c r="D162" s="35">
        <v>54200</v>
      </c>
      <c r="E162" s="47" t="s">
        <v>118</v>
      </c>
      <c r="F162" s="1" t="s">
        <v>2</v>
      </c>
      <c r="G162" s="1" t="s">
        <v>151</v>
      </c>
      <c r="H162" s="26">
        <v>1132</v>
      </c>
      <c r="I162" s="244">
        <v>22.64</v>
      </c>
      <c r="J162" s="16">
        <f>H162+I162</f>
        <v>1154.6400000000001</v>
      </c>
      <c r="K162" s="122">
        <f>IF(H162=0," ",(J162-H162)/H162)</f>
        <v>2.0000000000000087E-2</v>
      </c>
      <c r="M162" s="117">
        <v>1155</v>
      </c>
      <c r="N162" s="117">
        <v>1155</v>
      </c>
      <c r="P162" s="259"/>
      <c r="R162" s="26">
        <v>1155</v>
      </c>
      <c r="S162" s="26">
        <v>5655.87</v>
      </c>
      <c r="U162" s="26">
        <v>1155</v>
      </c>
      <c r="V162" s="244">
        <v>0</v>
      </c>
      <c r="W162" s="16">
        <f>U162+V162</f>
        <v>1155</v>
      </c>
      <c r="X162" s="122">
        <f>IF(U162=0," ",(W162-U162)/U162)</f>
        <v>0</v>
      </c>
      <c r="Z162" s="117">
        <v>1155</v>
      </c>
      <c r="AA162" s="117">
        <v>1155</v>
      </c>
      <c r="AC162" s="259"/>
      <c r="AE162" s="26">
        <v>1155</v>
      </c>
      <c r="AF162" s="200">
        <v>1802.36</v>
      </c>
      <c r="AH162" s="26">
        <v>1155</v>
      </c>
      <c r="AI162" s="244"/>
      <c r="AJ162" s="16">
        <f t="shared" ref="AJ162:AJ175" si="94">AH162+AI162</f>
        <v>1155</v>
      </c>
      <c r="AK162" s="122">
        <f t="shared" si="83"/>
        <v>0</v>
      </c>
      <c r="AM162" s="117">
        <v>1155</v>
      </c>
      <c r="AN162" s="117">
        <v>1155</v>
      </c>
      <c r="AP162" s="259"/>
      <c r="AR162" s="26">
        <v>1155</v>
      </c>
      <c r="AS162" s="26">
        <v>2581.96</v>
      </c>
      <c r="AU162" s="26">
        <f t="shared" si="84"/>
        <v>1155</v>
      </c>
      <c r="AV162" s="244">
        <v>129</v>
      </c>
      <c r="AW162" s="16">
        <f t="shared" si="85"/>
        <v>1284</v>
      </c>
      <c r="AX162" s="122">
        <f t="shared" si="89"/>
        <v>0.11168831168831168</v>
      </c>
      <c r="AZ162" s="117">
        <v>1284</v>
      </c>
      <c r="BA162" s="117">
        <f>1284+1371</f>
        <v>2655</v>
      </c>
      <c r="BC162" s="266" t="s">
        <v>1021</v>
      </c>
      <c r="BE162" s="26">
        <f>1284+1371</f>
        <v>2655</v>
      </c>
      <c r="BF162" s="26">
        <v>1940.53</v>
      </c>
      <c r="BH162" s="26">
        <f>1284+1371</f>
        <v>2655</v>
      </c>
      <c r="BI162" s="244"/>
      <c r="BJ162" s="16">
        <f t="shared" si="86"/>
        <v>2655</v>
      </c>
      <c r="BK162" s="122">
        <f t="shared" si="92"/>
        <v>0</v>
      </c>
      <c r="BM162" s="117">
        <v>2655</v>
      </c>
      <c r="BN162" s="117">
        <v>2655</v>
      </c>
      <c r="BP162" s="259"/>
      <c r="BR162" s="117">
        <v>2655</v>
      </c>
      <c r="BS162" s="26">
        <v>1185.07</v>
      </c>
      <c r="BU162" s="26">
        <v>2655</v>
      </c>
      <c r="BV162" s="828">
        <v>345</v>
      </c>
      <c r="BW162" s="576">
        <f t="shared" si="87"/>
        <v>3000</v>
      </c>
      <c r="BX162" s="577">
        <f t="shared" si="93"/>
        <v>0.12994350282485875</v>
      </c>
      <c r="BZ162" s="166">
        <v>3000</v>
      </c>
      <c r="CA162" s="166">
        <v>3000</v>
      </c>
      <c r="CC162" s="755" t="s">
        <v>1372</v>
      </c>
      <c r="CE162" s="166">
        <v>3000</v>
      </c>
      <c r="CF162" s="166"/>
      <c r="CJ162" s="886"/>
      <c r="CK162" s="1"/>
      <c r="CO162" s="16"/>
    </row>
    <row r="163" spans="1:93" x14ac:dyDescent="0.3">
      <c r="A163" s="12">
        <v>150</v>
      </c>
      <c r="B163" s="1"/>
      <c r="C163" s="35">
        <v>15005</v>
      </c>
      <c r="D163" s="35">
        <v>54250</v>
      </c>
      <c r="E163" s="47" t="s">
        <v>118</v>
      </c>
      <c r="F163" s="1"/>
      <c r="G163" s="1" t="s">
        <v>1533</v>
      </c>
      <c r="H163" s="26"/>
      <c r="I163" s="244"/>
      <c r="M163" s="117"/>
      <c r="N163" s="117"/>
      <c r="P163" s="259"/>
      <c r="R163" s="26"/>
      <c r="S163" s="26"/>
      <c r="U163" s="26"/>
      <c r="V163" s="244"/>
      <c r="Z163" s="117"/>
      <c r="AA163" s="117"/>
      <c r="AC163" s="259"/>
      <c r="AE163" s="26"/>
      <c r="AF163" s="200"/>
      <c r="AH163" s="26"/>
      <c r="AI163" s="244"/>
      <c r="AM163" s="117"/>
      <c r="AN163" s="117"/>
      <c r="AP163" s="259"/>
      <c r="AR163" s="26"/>
      <c r="AS163" s="26"/>
      <c r="AU163" s="26"/>
      <c r="AV163" s="244"/>
      <c r="AZ163" s="117"/>
      <c r="BA163" s="117"/>
      <c r="BC163" s="266"/>
      <c r="BE163" s="26"/>
      <c r="BF163" s="26"/>
      <c r="BH163" s="26"/>
      <c r="BI163" s="244"/>
      <c r="BM163" s="117"/>
      <c r="BN163" s="117"/>
      <c r="BP163" s="259"/>
      <c r="BR163" s="117"/>
      <c r="BS163" s="26"/>
      <c r="BU163" s="26"/>
      <c r="BV163" s="244"/>
      <c r="BZ163" s="166"/>
      <c r="CA163" s="166">
        <v>3500</v>
      </c>
      <c r="CC163" s="430" t="s">
        <v>1534</v>
      </c>
      <c r="CE163" s="247">
        <v>3500</v>
      </c>
      <c r="CF163" s="166"/>
      <c r="CH163" s="813">
        <v>3500</v>
      </c>
      <c r="CJ163" s="886"/>
      <c r="CK163" s="1"/>
      <c r="CO163" s="16"/>
    </row>
    <row r="164" spans="1:93" x14ac:dyDescent="0.3">
      <c r="A164" s="12">
        <v>150</v>
      </c>
      <c r="B164" s="1" t="s">
        <v>2</v>
      </c>
      <c r="C164" s="35">
        <v>15005</v>
      </c>
      <c r="D164" s="35">
        <v>54221</v>
      </c>
      <c r="E164" s="47" t="s">
        <v>118</v>
      </c>
      <c r="F164" s="1" t="s">
        <v>2</v>
      </c>
      <c r="G164" s="1" t="s">
        <v>152</v>
      </c>
      <c r="H164" s="26">
        <v>2000</v>
      </c>
      <c r="I164" s="244"/>
      <c r="J164" s="16">
        <f>H164+I164</f>
        <v>2000</v>
      </c>
      <c r="K164" s="122">
        <f>IF(H164=0," ",(J164-H164)/H164)</f>
        <v>0</v>
      </c>
      <c r="M164" s="117">
        <v>2000</v>
      </c>
      <c r="N164" s="117">
        <v>2000</v>
      </c>
      <c r="P164" s="259"/>
      <c r="R164" s="26">
        <v>2000</v>
      </c>
      <c r="S164" s="26">
        <v>2205.2199999999998</v>
      </c>
      <c r="U164" s="26">
        <v>2000</v>
      </c>
      <c r="V164" s="244">
        <v>0</v>
      </c>
      <c r="W164" s="16">
        <f>U164+V164</f>
        <v>2000</v>
      </c>
      <c r="X164" s="122">
        <f>IF(U164=0," ",(W164-U164)/U164)</f>
        <v>0</v>
      </c>
      <c r="Z164" s="117">
        <v>2000</v>
      </c>
      <c r="AA164" s="117">
        <v>2000</v>
      </c>
      <c r="AC164" s="259"/>
      <c r="AE164" s="26">
        <v>2000</v>
      </c>
      <c r="AF164" s="200">
        <v>959.7</v>
      </c>
      <c r="AH164" s="26">
        <v>2000</v>
      </c>
      <c r="AI164" s="244"/>
      <c r="AJ164" s="16">
        <f t="shared" si="94"/>
        <v>2000</v>
      </c>
      <c r="AK164" s="122">
        <f t="shared" si="83"/>
        <v>0</v>
      </c>
      <c r="AM164" s="117">
        <v>2000</v>
      </c>
      <c r="AN164" s="117">
        <v>2000</v>
      </c>
      <c r="AP164" s="259"/>
      <c r="AR164" s="26">
        <v>2000</v>
      </c>
      <c r="AS164" s="26">
        <v>1080.98</v>
      </c>
      <c r="AU164" s="26">
        <f t="shared" si="84"/>
        <v>2000</v>
      </c>
      <c r="AV164" s="244"/>
      <c r="AW164" s="16">
        <f t="shared" si="85"/>
        <v>2000</v>
      </c>
      <c r="AX164" s="122">
        <f t="shared" si="89"/>
        <v>0</v>
      </c>
      <c r="AZ164" s="117">
        <v>2000</v>
      </c>
      <c r="BA164" s="117">
        <v>2000</v>
      </c>
      <c r="BC164" s="259"/>
      <c r="BE164" s="26">
        <v>2000</v>
      </c>
      <c r="BF164" s="26">
        <v>1880.52</v>
      </c>
      <c r="BH164" s="26">
        <v>2000</v>
      </c>
      <c r="BI164" s="244"/>
      <c r="BJ164" s="16">
        <f t="shared" si="86"/>
        <v>2000</v>
      </c>
      <c r="BK164" s="122">
        <f t="shared" si="92"/>
        <v>0</v>
      </c>
      <c r="BM164" s="117">
        <v>2000</v>
      </c>
      <c r="BN164" s="117">
        <v>2000</v>
      </c>
      <c r="BP164" s="259"/>
      <c r="BR164" s="117">
        <v>2000</v>
      </c>
      <c r="BS164" s="26">
        <v>557.88</v>
      </c>
      <c r="BU164" s="26">
        <v>2000</v>
      </c>
      <c r="BV164" s="244"/>
      <c r="BW164" s="576">
        <f t="shared" si="87"/>
        <v>2000</v>
      </c>
      <c r="BX164" s="577">
        <f t="shared" si="93"/>
        <v>0</v>
      </c>
      <c r="BZ164" s="166">
        <v>2000</v>
      </c>
      <c r="CA164" s="166">
        <v>2000</v>
      </c>
      <c r="CC164" s="753"/>
      <c r="CE164" s="166">
        <v>2000</v>
      </c>
      <c r="CF164" s="166"/>
      <c r="CJ164" s="886"/>
      <c r="CK164" s="1"/>
      <c r="CO164" s="16"/>
    </row>
    <row r="165" spans="1:93" x14ac:dyDescent="0.3">
      <c r="A165" s="12">
        <v>150</v>
      </c>
      <c r="B165" s="1"/>
      <c r="C165" s="35">
        <v>15005</v>
      </c>
      <c r="D165" s="35">
        <v>54222</v>
      </c>
      <c r="E165" s="47" t="s">
        <v>118</v>
      </c>
      <c r="F165" s="1"/>
      <c r="G165" s="1" t="s">
        <v>768</v>
      </c>
      <c r="H165" s="26"/>
      <c r="I165" s="244"/>
      <c r="M165" s="117"/>
      <c r="N165" s="117">
        <v>0</v>
      </c>
      <c r="P165" s="259"/>
      <c r="R165" s="26"/>
      <c r="S165" s="26">
        <v>69.989999999999995</v>
      </c>
      <c r="U165" s="26"/>
      <c r="V165" s="244"/>
      <c r="Z165" s="117"/>
      <c r="AA165" s="117"/>
      <c r="AC165" s="259"/>
      <c r="AE165" s="26"/>
      <c r="AF165" s="200"/>
      <c r="AH165" s="26"/>
      <c r="AI165" s="244"/>
      <c r="AJ165" s="16">
        <f t="shared" si="94"/>
        <v>0</v>
      </c>
      <c r="AK165" s="122" t="str">
        <f t="shared" si="83"/>
        <v xml:space="preserve"> </v>
      </c>
      <c r="AM165" s="117">
        <v>0</v>
      </c>
      <c r="AN165" s="117">
        <v>0</v>
      </c>
      <c r="AP165" s="259"/>
      <c r="AR165" s="26">
        <v>0</v>
      </c>
      <c r="AS165" s="26">
        <v>0</v>
      </c>
      <c r="AU165" s="26">
        <f t="shared" si="84"/>
        <v>0</v>
      </c>
      <c r="AV165" s="244"/>
      <c r="AW165" s="16">
        <f t="shared" si="85"/>
        <v>0</v>
      </c>
      <c r="AX165" s="122" t="str">
        <f t="shared" si="89"/>
        <v xml:space="preserve"> </v>
      </c>
      <c r="AZ165" s="117">
        <v>0</v>
      </c>
      <c r="BA165" s="117">
        <v>0</v>
      </c>
      <c r="BC165" s="259"/>
      <c r="BE165" s="26">
        <v>0</v>
      </c>
      <c r="BF165" s="26"/>
      <c r="BH165" s="26">
        <v>0</v>
      </c>
      <c r="BI165" s="244"/>
      <c r="BJ165" s="16">
        <f t="shared" si="86"/>
        <v>0</v>
      </c>
      <c r="BK165" s="122" t="str">
        <f t="shared" si="92"/>
        <v xml:space="preserve"> </v>
      </c>
      <c r="BM165" s="117">
        <v>0</v>
      </c>
      <c r="BN165" s="117">
        <v>0</v>
      </c>
      <c r="BP165" s="259"/>
      <c r="BR165" s="117">
        <v>0</v>
      </c>
      <c r="BS165" s="26"/>
      <c r="BU165" s="26">
        <v>0</v>
      </c>
      <c r="BV165" s="244"/>
      <c r="BW165" s="576">
        <f t="shared" si="87"/>
        <v>0</v>
      </c>
      <c r="BX165" s="577" t="str">
        <f t="shared" si="93"/>
        <v xml:space="preserve"> </v>
      </c>
      <c r="BZ165" s="166">
        <v>0</v>
      </c>
      <c r="CA165" s="166">
        <v>0</v>
      </c>
      <c r="CC165" s="753"/>
      <c r="CE165" s="166">
        <v>0</v>
      </c>
      <c r="CF165" s="166"/>
      <c r="CJ165" s="886"/>
      <c r="CK165" s="1"/>
      <c r="CO165" s="16"/>
    </row>
    <row r="166" spans="1:93" x14ac:dyDescent="0.3">
      <c r="A166" s="12">
        <v>150</v>
      </c>
      <c r="B166" s="1" t="s">
        <v>2</v>
      </c>
      <c r="C166" s="35">
        <v>15005</v>
      </c>
      <c r="D166" s="35">
        <v>54223</v>
      </c>
      <c r="E166" s="47" t="s">
        <v>118</v>
      </c>
      <c r="F166" s="1" t="s">
        <v>2</v>
      </c>
      <c r="G166" s="1" t="s">
        <v>153</v>
      </c>
      <c r="H166" s="26">
        <v>360</v>
      </c>
      <c r="I166" s="244"/>
      <c r="J166" s="16">
        <f>H166+I166</f>
        <v>360</v>
      </c>
      <c r="K166" s="122">
        <f>IF(H166=0," ",(J166-H166)/H166)</f>
        <v>0</v>
      </c>
      <c r="M166" s="117">
        <v>360</v>
      </c>
      <c r="N166" s="117">
        <v>360</v>
      </c>
      <c r="P166" s="259"/>
      <c r="R166" s="26">
        <v>360</v>
      </c>
      <c r="S166" s="26">
        <v>419.02</v>
      </c>
      <c r="U166" s="26">
        <v>360</v>
      </c>
      <c r="V166" s="244">
        <v>0</v>
      </c>
      <c r="W166" s="16">
        <f>U166+V166</f>
        <v>360</v>
      </c>
      <c r="X166" s="122">
        <f>IF(U166=0," ",(W166-U166)/U166)</f>
        <v>0</v>
      </c>
      <c r="Z166" s="117">
        <v>360</v>
      </c>
      <c r="AA166" s="117">
        <v>360</v>
      </c>
      <c r="AC166" s="259"/>
      <c r="AE166" s="26">
        <v>360</v>
      </c>
      <c r="AF166" s="200">
        <v>374.82</v>
      </c>
      <c r="AH166" s="26">
        <v>360</v>
      </c>
      <c r="AI166" s="244"/>
      <c r="AJ166" s="16">
        <f t="shared" si="94"/>
        <v>360</v>
      </c>
      <c r="AK166" s="122">
        <f t="shared" si="83"/>
        <v>0</v>
      </c>
      <c r="AM166" s="117">
        <v>360</v>
      </c>
      <c r="AN166" s="117">
        <v>360</v>
      </c>
      <c r="AP166" s="259"/>
      <c r="AR166" s="26">
        <v>360</v>
      </c>
      <c r="AS166" s="26">
        <v>356.86</v>
      </c>
      <c r="AU166" s="26">
        <f t="shared" si="84"/>
        <v>360</v>
      </c>
      <c r="AV166" s="244">
        <v>500</v>
      </c>
      <c r="AW166" s="16">
        <f t="shared" si="85"/>
        <v>860</v>
      </c>
      <c r="AX166" s="122">
        <f t="shared" si="89"/>
        <v>1.3888888888888888</v>
      </c>
      <c r="AZ166" s="117">
        <v>860</v>
      </c>
      <c r="BA166" s="117">
        <v>860</v>
      </c>
      <c r="BC166" s="259"/>
      <c r="BE166" s="26">
        <v>860</v>
      </c>
      <c r="BF166" s="26">
        <v>566.02</v>
      </c>
      <c r="BH166" s="26">
        <v>860</v>
      </c>
      <c r="BI166" s="244"/>
      <c r="BJ166" s="16">
        <f t="shared" si="86"/>
        <v>860</v>
      </c>
      <c r="BK166" s="122">
        <f t="shared" si="92"/>
        <v>0</v>
      </c>
      <c r="BM166" s="117">
        <v>860</v>
      </c>
      <c r="BN166" s="117">
        <v>860</v>
      </c>
      <c r="BP166" s="259"/>
      <c r="BR166" s="117">
        <v>860</v>
      </c>
      <c r="BS166" s="26">
        <v>315.68</v>
      </c>
      <c r="BU166" s="26">
        <v>860</v>
      </c>
      <c r="BV166" s="244"/>
      <c r="BW166" s="576">
        <f t="shared" si="87"/>
        <v>860</v>
      </c>
      <c r="BX166" s="577">
        <f t="shared" si="93"/>
        <v>0</v>
      </c>
      <c r="BZ166" s="166">
        <v>860</v>
      </c>
      <c r="CA166" s="166">
        <v>860</v>
      </c>
      <c r="CC166" s="753"/>
      <c r="CE166" s="166">
        <v>860</v>
      </c>
      <c r="CF166" s="166"/>
      <c r="CJ166" s="886"/>
      <c r="CK166" s="1"/>
      <c r="CO166" s="16"/>
    </row>
    <row r="167" spans="1:93" x14ac:dyDescent="0.3">
      <c r="A167" s="12">
        <v>150</v>
      </c>
      <c r="B167" s="1"/>
      <c r="C167" s="35">
        <v>15005</v>
      </c>
      <c r="D167" s="35">
        <v>54224</v>
      </c>
      <c r="E167" s="47" t="s">
        <v>118</v>
      </c>
      <c r="F167" s="1"/>
      <c r="G167" s="1" t="s">
        <v>769</v>
      </c>
      <c r="H167" s="26"/>
      <c r="I167" s="244"/>
      <c r="M167" s="117"/>
      <c r="N167" s="117"/>
      <c r="P167" s="259"/>
      <c r="R167" s="26"/>
      <c r="S167" s="26">
        <v>1335.49</v>
      </c>
      <c r="U167" s="26"/>
      <c r="V167" s="244"/>
      <c r="Z167" s="117"/>
      <c r="AA167" s="117"/>
      <c r="AC167" s="259"/>
      <c r="AE167" s="26">
        <v>750</v>
      </c>
      <c r="AF167" s="200">
        <v>857.92</v>
      </c>
      <c r="AH167" s="26">
        <v>750</v>
      </c>
      <c r="AI167" s="244"/>
      <c r="AJ167" s="16">
        <f t="shared" si="94"/>
        <v>750</v>
      </c>
      <c r="AK167" s="122">
        <f t="shared" si="83"/>
        <v>0</v>
      </c>
      <c r="AM167" s="117">
        <v>750</v>
      </c>
      <c r="AN167" s="117">
        <v>750</v>
      </c>
      <c r="AP167" s="259"/>
      <c r="AR167" s="26">
        <v>750</v>
      </c>
      <c r="AS167" s="26">
        <v>1662.1</v>
      </c>
      <c r="AU167" s="26">
        <f t="shared" si="84"/>
        <v>750</v>
      </c>
      <c r="AV167" s="244"/>
      <c r="AW167" s="16">
        <f t="shared" si="85"/>
        <v>750</v>
      </c>
      <c r="AX167" s="122">
        <f t="shared" si="89"/>
        <v>0</v>
      </c>
      <c r="AZ167" s="117">
        <v>750</v>
      </c>
      <c r="BA167" s="117">
        <f>750+2280</f>
        <v>3030</v>
      </c>
      <c r="BC167" s="266" t="s">
        <v>1020</v>
      </c>
      <c r="BE167" s="26">
        <f>750+2280</f>
        <v>3030</v>
      </c>
      <c r="BF167" s="26">
        <v>1281.6099999999999</v>
      </c>
      <c r="BH167" s="26">
        <f>750+2280</f>
        <v>3030</v>
      </c>
      <c r="BI167" s="416">
        <f>-690-940</f>
        <v>-1630</v>
      </c>
      <c r="BJ167" s="16">
        <f t="shared" si="86"/>
        <v>1400</v>
      </c>
      <c r="BK167" s="122">
        <f t="shared" si="92"/>
        <v>-0.53795379537953791</v>
      </c>
      <c r="BM167" s="117">
        <v>1400</v>
      </c>
      <c r="BN167" s="117">
        <v>1400</v>
      </c>
      <c r="BP167" s="399" t="s">
        <v>1120</v>
      </c>
      <c r="BR167" s="117">
        <v>1400</v>
      </c>
      <c r="BS167" s="26">
        <v>534.32000000000005</v>
      </c>
      <c r="BU167" s="26">
        <v>1400</v>
      </c>
      <c r="BV167" s="244"/>
      <c r="BW167" s="576">
        <f t="shared" si="87"/>
        <v>1400</v>
      </c>
      <c r="BX167" s="577">
        <f t="shared" si="93"/>
        <v>0</v>
      </c>
      <c r="BZ167" s="166">
        <v>1400</v>
      </c>
      <c r="CA167" s="166">
        <v>1400</v>
      </c>
      <c r="CC167" s="754"/>
      <c r="CE167" s="166">
        <v>1400</v>
      </c>
      <c r="CF167" s="166"/>
      <c r="CJ167" s="886"/>
      <c r="CK167" s="1"/>
      <c r="CO167" s="16"/>
    </row>
    <row r="168" spans="1:93" x14ac:dyDescent="0.3">
      <c r="A168" s="12">
        <v>150</v>
      </c>
      <c r="B168" s="1"/>
      <c r="C168" s="35">
        <v>15005</v>
      </c>
      <c r="D168" s="35">
        <v>54226</v>
      </c>
      <c r="E168" s="47" t="s">
        <v>118</v>
      </c>
      <c r="F168" s="1"/>
      <c r="G168" s="1" t="s">
        <v>770</v>
      </c>
      <c r="H168" s="26"/>
      <c r="I168" s="244"/>
      <c r="M168" s="117"/>
      <c r="N168" s="117"/>
      <c r="P168" s="259"/>
      <c r="R168" s="26"/>
      <c r="S168" s="26">
        <v>3070.37</v>
      </c>
      <c r="U168" s="26"/>
      <c r="V168" s="244"/>
      <c r="Z168" s="117"/>
      <c r="AA168" s="117"/>
      <c r="AC168" s="259"/>
      <c r="AE168" s="26"/>
      <c r="AF168" s="200">
        <v>3600.25</v>
      </c>
      <c r="AH168" s="26"/>
      <c r="AI168" s="244"/>
      <c r="AJ168" s="16">
        <f t="shared" si="94"/>
        <v>0</v>
      </c>
      <c r="AK168" s="122" t="str">
        <f t="shared" si="83"/>
        <v xml:space="preserve"> </v>
      </c>
      <c r="AM168" s="117">
        <v>0</v>
      </c>
      <c r="AN168" s="117">
        <v>0</v>
      </c>
      <c r="AP168" s="259"/>
      <c r="AR168" s="26">
        <v>0</v>
      </c>
      <c r="AS168" s="26">
        <v>4041.6</v>
      </c>
      <c r="AU168" s="26">
        <f t="shared" si="84"/>
        <v>0</v>
      </c>
      <c r="AV168" s="244"/>
      <c r="AW168" s="16">
        <f t="shared" si="85"/>
        <v>0</v>
      </c>
      <c r="AX168" s="122" t="str">
        <f t="shared" si="89"/>
        <v xml:space="preserve"> </v>
      </c>
      <c r="AZ168" s="117">
        <v>0</v>
      </c>
      <c r="BA168" s="117">
        <v>0</v>
      </c>
      <c r="BC168" s="259"/>
      <c r="BE168" s="26">
        <v>0</v>
      </c>
      <c r="BF168" s="26">
        <v>5533.46</v>
      </c>
      <c r="BH168" s="26">
        <v>0</v>
      </c>
      <c r="BI168" s="416">
        <f>4740-80</f>
        <v>4660</v>
      </c>
      <c r="BJ168" s="16">
        <f t="shared" si="86"/>
        <v>4660</v>
      </c>
      <c r="BK168" s="122" t="str">
        <f t="shared" si="92"/>
        <v xml:space="preserve"> </v>
      </c>
      <c r="BM168" s="117">
        <v>4660</v>
      </c>
      <c r="BN168" s="117">
        <v>4660</v>
      </c>
      <c r="BP168" s="399" t="s">
        <v>1120</v>
      </c>
      <c r="BR168" s="117">
        <v>4660</v>
      </c>
      <c r="BS168" s="26">
        <v>2193.6999999999998</v>
      </c>
      <c r="BU168" s="26">
        <v>4660</v>
      </c>
      <c r="BV168" s="244"/>
      <c r="BW168" s="576">
        <f t="shared" si="87"/>
        <v>4660</v>
      </c>
      <c r="BX168" s="577">
        <f t="shared" si="93"/>
        <v>0</v>
      </c>
      <c r="BZ168" s="166">
        <v>4660</v>
      </c>
      <c r="CA168" s="166">
        <v>4660</v>
      </c>
      <c r="CC168" s="754"/>
      <c r="CE168" s="166">
        <v>4660</v>
      </c>
      <c r="CF168" s="166"/>
      <c r="CJ168" s="886"/>
      <c r="CK168" s="1"/>
      <c r="CO168" s="16"/>
    </row>
    <row r="169" spans="1:93" x14ac:dyDescent="0.3">
      <c r="A169" s="12">
        <v>150</v>
      </c>
      <c r="B169" s="1" t="s">
        <v>2</v>
      </c>
      <c r="C169" s="35">
        <v>15005</v>
      </c>
      <c r="D169" s="35">
        <v>54300</v>
      </c>
      <c r="E169" s="47" t="s">
        <v>118</v>
      </c>
      <c r="F169" s="1" t="s">
        <v>2</v>
      </c>
      <c r="G169" s="1" t="s">
        <v>154</v>
      </c>
      <c r="H169" s="26">
        <v>1030</v>
      </c>
      <c r="I169" s="244"/>
      <c r="J169" s="16">
        <f>H169+I169</f>
        <v>1030</v>
      </c>
      <c r="K169" s="122">
        <f>IF(H169=0," ",(J169-H169)/H169)</f>
        <v>0</v>
      </c>
      <c r="M169" s="117">
        <v>1030</v>
      </c>
      <c r="N169" s="117">
        <v>1030</v>
      </c>
      <c r="P169" s="259"/>
      <c r="R169" s="26">
        <v>1030</v>
      </c>
      <c r="S169" s="26">
        <v>287.08999999999997</v>
      </c>
      <c r="U169" s="26">
        <v>1030</v>
      </c>
      <c r="V169" s="244">
        <v>0</v>
      </c>
      <c r="W169" s="16">
        <f>U169+V169</f>
        <v>1030</v>
      </c>
      <c r="X169" s="122">
        <f>IF(U169=0," ",(W169-U169)/U169)</f>
        <v>0</v>
      </c>
      <c r="Z169" s="117">
        <v>1030</v>
      </c>
      <c r="AA169" s="117">
        <v>1030</v>
      </c>
      <c r="AC169" s="259"/>
      <c r="AE169" s="26">
        <v>1030</v>
      </c>
      <c r="AF169" s="200">
        <v>750.53</v>
      </c>
      <c r="AH169" s="26">
        <v>1030</v>
      </c>
      <c r="AI169" s="244"/>
      <c r="AJ169" s="16">
        <f t="shared" si="94"/>
        <v>1030</v>
      </c>
      <c r="AK169" s="122">
        <f t="shared" si="83"/>
        <v>0</v>
      </c>
      <c r="AM169" s="117">
        <v>1030</v>
      </c>
      <c r="AN169" s="117">
        <v>1030</v>
      </c>
      <c r="AP169" s="259"/>
      <c r="AR169" s="26">
        <v>1030</v>
      </c>
      <c r="AS169" s="26"/>
      <c r="AU169" s="26">
        <f t="shared" si="84"/>
        <v>1030</v>
      </c>
      <c r="AV169" s="244"/>
      <c r="AW169" s="16">
        <f t="shared" si="85"/>
        <v>1030</v>
      </c>
      <c r="AX169" s="122">
        <f t="shared" si="89"/>
        <v>0</v>
      </c>
      <c r="AZ169" s="117">
        <v>1030</v>
      </c>
      <c r="BA169" s="117">
        <v>1030</v>
      </c>
      <c r="BC169" s="259"/>
      <c r="BE169" s="26">
        <v>1030</v>
      </c>
      <c r="BF169" s="26">
        <v>0</v>
      </c>
      <c r="BH169" s="26">
        <v>1030</v>
      </c>
      <c r="BI169" s="416">
        <v>-1030</v>
      </c>
      <c r="BJ169" s="16">
        <f t="shared" si="86"/>
        <v>0</v>
      </c>
      <c r="BK169" s="122">
        <f t="shared" si="92"/>
        <v>-1</v>
      </c>
      <c r="BM169" s="117">
        <v>0</v>
      </c>
      <c r="BN169" s="117">
        <v>0</v>
      </c>
      <c r="BP169" s="399" t="s">
        <v>1120</v>
      </c>
      <c r="BR169" s="117">
        <v>0</v>
      </c>
      <c r="BS169" s="26"/>
      <c r="BU169" s="26">
        <v>0</v>
      </c>
      <c r="BV169" s="244"/>
      <c r="BW169" s="576">
        <f t="shared" si="87"/>
        <v>0</v>
      </c>
      <c r="BX169" s="577" t="str">
        <f t="shared" si="93"/>
        <v xml:space="preserve"> </v>
      </c>
      <c r="BZ169" s="166">
        <v>0</v>
      </c>
      <c r="CA169" s="166">
        <v>0</v>
      </c>
      <c r="CC169" s="754"/>
      <c r="CE169" s="166">
        <v>0</v>
      </c>
      <c r="CF169" s="166"/>
      <c r="CJ169" s="886"/>
      <c r="CK169" s="1"/>
      <c r="CO169" s="16"/>
    </row>
    <row r="170" spans="1:93" x14ac:dyDescent="0.3">
      <c r="A170" s="12">
        <v>150</v>
      </c>
      <c r="B170" s="1" t="s">
        <v>2</v>
      </c>
      <c r="C170" s="35">
        <v>15005</v>
      </c>
      <c r="D170" s="35">
        <v>54500</v>
      </c>
      <c r="E170" s="47" t="s">
        <v>118</v>
      </c>
      <c r="F170" s="1" t="s">
        <v>2</v>
      </c>
      <c r="G170" s="1" t="s">
        <v>915</v>
      </c>
      <c r="H170" s="26"/>
      <c r="I170" s="244"/>
      <c r="M170" s="117"/>
      <c r="N170" s="117"/>
      <c r="P170" s="259"/>
      <c r="R170" s="26"/>
      <c r="S170" s="26"/>
      <c r="U170" s="26"/>
      <c r="V170" s="244"/>
      <c r="Z170" s="117"/>
      <c r="AA170" s="117"/>
      <c r="AC170" s="259"/>
      <c r="AE170" s="26"/>
      <c r="AF170" s="200">
        <v>601.58000000000004</v>
      </c>
      <c r="AH170" s="3"/>
      <c r="AI170" s="244"/>
      <c r="AJ170" s="16">
        <f>AF170+AI170</f>
        <v>601.58000000000004</v>
      </c>
      <c r="AK170" s="122">
        <f>IF(AF170=0," ",(AJ170-AF170)/AF170)</f>
        <v>0</v>
      </c>
      <c r="AM170" s="117"/>
      <c r="AN170" s="117"/>
      <c r="AP170" s="259"/>
      <c r="AR170" s="26">
        <v>0</v>
      </c>
      <c r="AS170" s="26">
        <v>0</v>
      </c>
      <c r="AU170" s="26">
        <f t="shared" si="84"/>
        <v>0</v>
      </c>
      <c r="AV170" s="244"/>
      <c r="AW170" s="16">
        <f t="shared" si="85"/>
        <v>0</v>
      </c>
      <c r="AZ170" s="117">
        <v>0</v>
      </c>
      <c r="BA170" s="117">
        <v>0</v>
      </c>
      <c r="BC170" s="259"/>
      <c r="BE170" s="26">
        <v>0</v>
      </c>
      <c r="BF170" s="26"/>
      <c r="BH170" s="26">
        <v>0</v>
      </c>
      <c r="BI170" s="244"/>
      <c r="BJ170" s="16">
        <f t="shared" si="86"/>
        <v>0</v>
      </c>
      <c r="BM170" s="117">
        <v>0</v>
      </c>
      <c r="BN170" s="117">
        <v>0</v>
      </c>
      <c r="BP170" s="259"/>
      <c r="BR170" s="117">
        <v>0</v>
      </c>
      <c r="BS170" s="26"/>
      <c r="BU170" s="26">
        <v>0</v>
      </c>
      <c r="BV170" s="244"/>
      <c r="BW170" s="576">
        <f t="shared" si="87"/>
        <v>0</v>
      </c>
      <c r="BZ170" s="166">
        <v>0</v>
      </c>
      <c r="CA170" s="166">
        <v>0</v>
      </c>
      <c r="CC170" s="753"/>
      <c r="CE170" s="166">
        <v>0</v>
      </c>
      <c r="CF170" s="166"/>
      <c r="CJ170" s="886"/>
      <c r="CK170" s="1"/>
      <c r="CO170" s="16"/>
    </row>
    <row r="171" spans="1:93" x14ac:dyDescent="0.3">
      <c r="A171" s="12">
        <v>150</v>
      </c>
      <c r="B171" s="1" t="s">
        <v>2</v>
      </c>
      <c r="C171" s="35">
        <v>15005</v>
      </c>
      <c r="D171" s="35">
        <v>55810</v>
      </c>
      <c r="E171" s="47" t="s">
        <v>118</v>
      </c>
      <c r="F171" s="1" t="s">
        <v>2</v>
      </c>
      <c r="G171" s="292" t="s">
        <v>155</v>
      </c>
      <c r="H171" s="26">
        <v>3000</v>
      </c>
      <c r="I171" s="244"/>
      <c r="J171" s="16">
        <f>H171+I171</f>
        <v>3000</v>
      </c>
      <c r="K171" s="122">
        <f>IF(H171=0," ",(J171-H171)/H171)</f>
        <v>0</v>
      </c>
      <c r="M171" s="117">
        <v>3000</v>
      </c>
      <c r="N171" s="117">
        <v>3000</v>
      </c>
      <c r="P171" s="259"/>
      <c r="R171" s="26">
        <v>3000</v>
      </c>
      <c r="S171" s="26">
        <v>0</v>
      </c>
      <c r="U171" s="26">
        <v>3000</v>
      </c>
      <c r="V171" s="244">
        <v>0</v>
      </c>
      <c r="W171" s="16">
        <f>U171+V171</f>
        <v>3000</v>
      </c>
      <c r="X171" s="122">
        <f>IF(U171=0," ",(W171-U171)/U171)</f>
        <v>0</v>
      </c>
      <c r="Z171" s="117">
        <v>3000</v>
      </c>
      <c r="AA171" s="117">
        <v>3000</v>
      </c>
      <c r="AC171" s="259"/>
      <c r="AE171" s="26"/>
      <c r="AF171" s="200"/>
      <c r="AH171" s="26"/>
      <c r="AI171" s="244"/>
      <c r="AJ171" s="16">
        <f t="shared" si="94"/>
        <v>0</v>
      </c>
      <c r="AK171" s="122" t="str">
        <f t="shared" si="83"/>
        <v xml:space="preserve"> </v>
      </c>
      <c r="AM171" s="117">
        <v>0</v>
      </c>
      <c r="AN171" s="117">
        <v>0</v>
      </c>
      <c r="AP171" s="259"/>
      <c r="AR171" s="26">
        <v>0</v>
      </c>
      <c r="AS171" s="26">
        <v>0</v>
      </c>
      <c r="AU171" s="26">
        <f t="shared" si="84"/>
        <v>0</v>
      </c>
      <c r="AV171" s="244"/>
      <c r="AW171" s="16">
        <f t="shared" si="85"/>
        <v>0</v>
      </c>
      <c r="AX171" s="122" t="str">
        <f>IF(AU171=0," ",(AW171-AU171)/AU171)</f>
        <v xml:space="preserve"> </v>
      </c>
      <c r="AZ171" s="117">
        <v>0</v>
      </c>
      <c r="BA171" s="117">
        <v>0</v>
      </c>
      <c r="BC171" s="259"/>
      <c r="BE171" s="26">
        <v>0</v>
      </c>
      <c r="BF171" s="26"/>
      <c r="BH171" s="26">
        <v>0</v>
      </c>
      <c r="BI171" s="244"/>
      <c r="BJ171" s="16">
        <f t="shared" si="86"/>
        <v>0</v>
      </c>
      <c r="BK171" s="122" t="str">
        <f>IF(BH171=0," ",(BJ171-BH171)/BH171)</f>
        <v xml:space="preserve"> </v>
      </c>
      <c r="BM171" s="117">
        <v>0</v>
      </c>
      <c r="BN171" s="117">
        <v>0</v>
      </c>
      <c r="BP171" s="259"/>
      <c r="BR171" s="117">
        <v>0</v>
      </c>
      <c r="BS171" s="26"/>
      <c r="BU171" s="26">
        <v>0</v>
      </c>
      <c r="BV171" s="244"/>
      <c r="BW171" s="576">
        <f t="shared" si="87"/>
        <v>0</v>
      </c>
      <c r="BX171" s="577" t="str">
        <f>IF(BU171=0," ",(BW171-BU171)/BU171)</f>
        <v xml:space="preserve"> </v>
      </c>
      <c r="BZ171" s="166">
        <v>0</v>
      </c>
      <c r="CA171" s="166">
        <v>0</v>
      </c>
      <c r="CC171" s="753"/>
      <c r="CE171" s="166">
        <v>0</v>
      </c>
      <c r="CF171" s="166"/>
      <c r="CJ171" s="886"/>
      <c r="CK171" s="1"/>
      <c r="CO171" s="16"/>
    </row>
    <row r="172" spans="1:93" x14ac:dyDescent="0.3">
      <c r="A172" s="12">
        <v>150</v>
      </c>
      <c r="B172" s="1"/>
      <c r="C172" s="35">
        <v>15005</v>
      </c>
      <c r="D172" s="35">
        <v>57100</v>
      </c>
      <c r="E172" s="47" t="s">
        <v>118</v>
      </c>
      <c r="F172" s="1"/>
      <c r="G172" s="1" t="s">
        <v>771</v>
      </c>
      <c r="H172" s="26"/>
      <c r="I172" s="244"/>
      <c r="M172" s="117"/>
      <c r="N172" s="117">
        <v>0</v>
      </c>
      <c r="P172" s="259"/>
      <c r="R172" s="26"/>
      <c r="S172" s="26">
        <v>126</v>
      </c>
      <c r="U172" s="26"/>
      <c r="V172" s="244"/>
      <c r="Z172" s="117"/>
      <c r="AA172" s="117"/>
      <c r="AC172" s="259"/>
      <c r="AE172" s="26"/>
      <c r="AF172" s="200"/>
      <c r="AH172" s="26"/>
      <c r="AI172" s="244"/>
      <c r="AJ172" s="16">
        <f t="shared" si="94"/>
        <v>0</v>
      </c>
      <c r="AK172" s="122" t="str">
        <f t="shared" si="83"/>
        <v xml:space="preserve"> </v>
      </c>
      <c r="AM172" s="117">
        <v>0</v>
      </c>
      <c r="AN172" s="117">
        <v>0</v>
      </c>
      <c r="AP172" s="259"/>
      <c r="AR172" s="26">
        <v>0</v>
      </c>
      <c r="AS172" s="26">
        <v>0</v>
      </c>
      <c r="AU172" s="26">
        <f t="shared" si="84"/>
        <v>0</v>
      </c>
      <c r="AV172" s="244"/>
      <c r="AW172" s="16">
        <f t="shared" si="85"/>
        <v>0</v>
      </c>
      <c r="AX172" s="122" t="str">
        <f>IF(AU172=0," ",(AW172-AU172)/AU172)</f>
        <v xml:space="preserve"> </v>
      </c>
      <c r="AZ172" s="117">
        <v>0</v>
      </c>
      <c r="BA172" s="117">
        <v>0</v>
      </c>
      <c r="BC172" s="259"/>
      <c r="BE172" s="26">
        <v>0</v>
      </c>
      <c r="BF172" s="26"/>
      <c r="BH172" s="26">
        <v>0</v>
      </c>
      <c r="BI172" s="244"/>
      <c r="BJ172" s="16">
        <f t="shared" si="86"/>
        <v>0</v>
      </c>
      <c r="BK172" s="122" t="str">
        <f>IF(BH172=0," ",(BJ172-BH172)/BH172)</f>
        <v xml:space="preserve"> </v>
      </c>
      <c r="BM172" s="117">
        <v>0</v>
      </c>
      <c r="BN172" s="117">
        <v>0</v>
      </c>
      <c r="BP172" s="259"/>
      <c r="BR172" s="117">
        <v>0</v>
      </c>
      <c r="BS172" s="26"/>
      <c r="BU172" s="26">
        <v>0</v>
      </c>
      <c r="BV172" s="244"/>
      <c r="BW172" s="576">
        <f t="shared" si="87"/>
        <v>0</v>
      </c>
      <c r="BX172" s="577" t="str">
        <f>IF(BU172=0," ",(BW172-BU172)/BU172)</f>
        <v xml:space="preserve"> </v>
      </c>
      <c r="BZ172" s="166">
        <v>0</v>
      </c>
      <c r="CA172" s="166">
        <v>0</v>
      </c>
      <c r="CC172" s="753"/>
      <c r="CE172" s="166">
        <v>0</v>
      </c>
      <c r="CF172" s="166"/>
      <c r="CJ172" s="886"/>
      <c r="CK172" s="1"/>
      <c r="CO172" s="16"/>
    </row>
    <row r="173" spans="1:93" x14ac:dyDescent="0.3">
      <c r="A173" s="12">
        <v>150</v>
      </c>
      <c r="B173" s="1" t="s">
        <v>2</v>
      </c>
      <c r="C173" s="35">
        <v>15005</v>
      </c>
      <c r="D173" s="35">
        <v>58510</v>
      </c>
      <c r="E173" s="47" t="s">
        <v>118</v>
      </c>
      <c r="F173" s="1" t="s">
        <v>2</v>
      </c>
      <c r="G173" s="293" t="s">
        <v>894</v>
      </c>
      <c r="H173" s="26">
        <v>7300</v>
      </c>
      <c r="I173" s="244"/>
      <c r="J173" s="16">
        <f>H173+I173</f>
        <v>7300</v>
      </c>
      <c r="K173" s="122">
        <f>IF(H173=0," ",(J173-H173)/H173)</f>
        <v>0</v>
      </c>
      <c r="M173" s="117">
        <v>7300</v>
      </c>
      <c r="N173" s="117">
        <v>7300</v>
      </c>
      <c r="P173" s="259"/>
      <c r="R173" s="26">
        <v>7300</v>
      </c>
      <c r="S173" s="26">
        <v>4950.6000000000004</v>
      </c>
      <c r="U173" s="26">
        <v>7300</v>
      </c>
      <c r="V173" s="244">
        <v>0</v>
      </c>
      <c r="W173" s="16">
        <f>U173+V173</f>
        <v>7300</v>
      </c>
      <c r="X173" s="122">
        <f>IF(U173=0," ",(W173-U173)/U173)</f>
        <v>0</v>
      </c>
      <c r="Z173" s="117">
        <v>7300</v>
      </c>
      <c r="AA173" s="117">
        <v>7300</v>
      </c>
      <c r="AC173" s="259"/>
      <c r="AE173" s="26">
        <v>7300</v>
      </c>
      <c r="AF173" s="200">
        <v>5233.99</v>
      </c>
      <c r="AH173" s="26">
        <v>7300</v>
      </c>
      <c r="AI173" s="244"/>
      <c r="AJ173" s="16">
        <f t="shared" si="94"/>
        <v>7300</v>
      </c>
      <c r="AK173" s="122">
        <f t="shared" si="83"/>
        <v>0</v>
      </c>
      <c r="AM173" s="117">
        <v>7300</v>
      </c>
      <c r="AN173" s="117">
        <v>7300</v>
      </c>
      <c r="AP173" s="259"/>
      <c r="AR173" s="26">
        <v>7300</v>
      </c>
      <c r="AS173" s="26">
        <v>3055.01</v>
      </c>
      <c r="AU173" s="26">
        <f t="shared" si="84"/>
        <v>7300</v>
      </c>
      <c r="AV173" s="244"/>
      <c r="AW173" s="16">
        <f t="shared" si="85"/>
        <v>7300</v>
      </c>
      <c r="AX173" s="122">
        <f>IF(AU173=0," ",(AW173-AU173)/AU173)</f>
        <v>0</v>
      </c>
      <c r="AZ173" s="117">
        <v>7300</v>
      </c>
      <c r="BA173" s="117">
        <v>7300</v>
      </c>
      <c r="BC173" s="259"/>
      <c r="BE173" s="26">
        <v>7300</v>
      </c>
      <c r="BF173" s="26">
        <v>349.1</v>
      </c>
      <c r="BH173" s="26">
        <v>7300</v>
      </c>
      <c r="BI173" s="244"/>
      <c r="BJ173" s="16">
        <f t="shared" si="86"/>
        <v>7300</v>
      </c>
      <c r="BK173" s="122">
        <f>IF(BH173=0," ",(BJ173-BH173)/BH173)</f>
        <v>0</v>
      </c>
      <c r="BM173" s="117">
        <v>7300</v>
      </c>
      <c r="BN173" s="117">
        <v>7300</v>
      </c>
      <c r="BP173" s="259"/>
      <c r="BR173" s="117">
        <v>7300</v>
      </c>
      <c r="BS173" s="26">
        <v>6864.27</v>
      </c>
      <c r="BU173" s="26">
        <v>7300</v>
      </c>
      <c r="BV173" s="244"/>
      <c r="BW173" s="576">
        <f t="shared" si="87"/>
        <v>7300</v>
      </c>
      <c r="BX173" s="577">
        <f>IF(BU173=0," ",(BW173-BU173)/BU173)</f>
        <v>0</v>
      </c>
      <c r="BZ173" s="166">
        <v>7300</v>
      </c>
      <c r="CA173" s="911">
        <f>7000-125</f>
        <v>6875</v>
      </c>
      <c r="CC173" s="430" t="s">
        <v>1655</v>
      </c>
      <c r="CE173" s="911">
        <v>6875</v>
      </c>
      <c r="CF173" s="166"/>
      <c r="CJ173" s="886"/>
      <c r="CK173" s="1"/>
      <c r="CO173" s="16"/>
    </row>
    <row r="174" spans="1:93" x14ac:dyDescent="0.3">
      <c r="A174" s="12"/>
      <c r="B174" s="1"/>
      <c r="C174" s="35"/>
      <c r="D174" s="35"/>
      <c r="E174" s="47"/>
      <c r="F174" s="1"/>
      <c r="G174" s="293"/>
      <c r="H174" s="26"/>
      <c r="I174" s="244"/>
      <c r="M174" s="117"/>
      <c r="N174" s="117"/>
      <c r="P174" s="259"/>
      <c r="R174" s="26"/>
      <c r="S174" s="26"/>
      <c r="U174" s="26"/>
      <c r="V174" s="244"/>
      <c r="Z174" s="117"/>
      <c r="AA174" s="117"/>
      <c r="AC174" s="259"/>
      <c r="AE174" s="26"/>
      <c r="AF174" s="200">
        <v>37353.25</v>
      </c>
      <c r="AH174" s="26"/>
      <c r="AI174" s="244"/>
      <c r="AM174" s="117"/>
      <c r="AN174" s="117"/>
      <c r="AP174" s="259"/>
      <c r="AR174" s="26"/>
      <c r="AS174" s="26">
        <v>0</v>
      </c>
      <c r="AU174" s="26">
        <f t="shared" si="84"/>
        <v>0</v>
      </c>
      <c r="AV174" s="244"/>
      <c r="AW174" s="16">
        <f t="shared" si="85"/>
        <v>0</v>
      </c>
      <c r="AZ174" s="117">
        <v>0</v>
      </c>
      <c r="BA174" s="117">
        <v>0</v>
      </c>
      <c r="BC174" s="259"/>
      <c r="BE174" s="26">
        <v>0</v>
      </c>
      <c r="BF174" s="26"/>
      <c r="BH174" s="26">
        <v>0</v>
      </c>
      <c r="BI174" s="244"/>
      <c r="BJ174" s="16">
        <f t="shared" si="86"/>
        <v>0</v>
      </c>
      <c r="BM174" s="117">
        <v>0</v>
      </c>
      <c r="BN174" s="117">
        <v>0</v>
      </c>
      <c r="BP174" s="259"/>
      <c r="BR174" s="117">
        <v>0</v>
      </c>
      <c r="BS174" s="26"/>
      <c r="BU174" s="26">
        <v>0</v>
      </c>
      <c r="BV174" s="244"/>
      <c r="BW174" s="576">
        <f t="shared" si="87"/>
        <v>0</v>
      </c>
      <c r="BZ174" s="166">
        <v>0</v>
      </c>
      <c r="CA174" s="166">
        <v>0</v>
      </c>
      <c r="CC174" s="753"/>
      <c r="CE174" s="166">
        <v>0</v>
      </c>
      <c r="CF174" s="166"/>
      <c r="CJ174" s="886"/>
      <c r="CK174" s="1"/>
      <c r="CO174" s="16"/>
    </row>
    <row r="175" spans="1:93" x14ac:dyDescent="0.3">
      <c r="A175" s="11">
        <v>150</v>
      </c>
      <c r="B175" s="3" t="s">
        <v>2</v>
      </c>
      <c r="C175" s="37">
        <v>15005</v>
      </c>
      <c r="D175" s="37">
        <v>58700</v>
      </c>
      <c r="E175" s="49" t="s">
        <v>118</v>
      </c>
      <c r="F175" s="3" t="s">
        <v>2</v>
      </c>
      <c r="G175" s="287" t="s">
        <v>895</v>
      </c>
      <c r="H175" s="26">
        <v>0</v>
      </c>
      <c r="I175" s="244"/>
      <c r="J175" s="16">
        <f>H175+I175</f>
        <v>0</v>
      </c>
      <c r="K175" s="122" t="str">
        <f>IF(H175=0," ",(J175-H175)/H175)</f>
        <v xml:space="preserve"> </v>
      </c>
      <c r="M175" s="117">
        <v>0</v>
      </c>
      <c r="N175" s="117">
        <v>0</v>
      </c>
      <c r="P175" s="259"/>
      <c r="R175" s="26">
        <v>0</v>
      </c>
      <c r="S175" s="26">
        <v>785</v>
      </c>
      <c r="U175" s="26">
        <v>0</v>
      </c>
      <c r="V175" s="244">
        <v>0</v>
      </c>
      <c r="W175" s="16">
        <f>U175+V175</f>
        <v>0</v>
      </c>
      <c r="X175" s="122" t="str">
        <f>IF(U175=0," ",(W175-U175)/U175)</f>
        <v xml:space="preserve"> </v>
      </c>
      <c r="Z175" s="117">
        <v>0</v>
      </c>
      <c r="AA175" s="117">
        <v>0</v>
      </c>
      <c r="AC175" s="259"/>
      <c r="AE175" s="26">
        <v>0</v>
      </c>
      <c r="AF175" s="200"/>
      <c r="AH175" s="26">
        <v>0</v>
      </c>
      <c r="AI175" s="244"/>
      <c r="AJ175" s="16">
        <f t="shared" si="94"/>
        <v>0</v>
      </c>
      <c r="AK175" s="122" t="str">
        <f t="shared" si="83"/>
        <v xml:space="preserve"> </v>
      </c>
      <c r="AM175" s="117">
        <v>0</v>
      </c>
      <c r="AN175" s="117">
        <v>0</v>
      </c>
      <c r="AP175" s="259"/>
      <c r="AR175" s="26">
        <v>0</v>
      </c>
      <c r="AS175" s="26">
        <v>0</v>
      </c>
      <c r="AU175" s="26">
        <f t="shared" si="84"/>
        <v>0</v>
      </c>
      <c r="AV175" s="244"/>
      <c r="AW175" s="16">
        <f t="shared" si="85"/>
        <v>0</v>
      </c>
      <c r="AX175" s="122" t="str">
        <f>IF(AU175=0," ",(AW175-AU175)/AU175)</f>
        <v xml:space="preserve"> </v>
      </c>
      <c r="AZ175" s="117">
        <v>0</v>
      </c>
      <c r="BA175" s="117">
        <v>0</v>
      </c>
      <c r="BC175" s="259"/>
      <c r="BE175" s="26">
        <v>0</v>
      </c>
      <c r="BF175" s="26"/>
      <c r="BH175" s="26">
        <v>0</v>
      </c>
      <c r="BI175" s="244"/>
      <c r="BJ175" s="16">
        <f t="shared" si="86"/>
        <v>0</v>
      </c>
      <c r="BK175" s="122" t="str">
        <f>IF(BH175=0," ",(BJ175-BH175)/BH175)</f>
        <v xml:space="preserve"> </v>
      </c>
      <c r="BM175" s="117">
        <v>0</v>
      </c>
      <c r="BN175" s="117">
        <v>0</v>
      </c>
      <c r="BP175" s="259"/>
      <c r="BR175" s="117">
        <v>0</v>
      </c>
      <c r="BS175" s="26"/>
      <c r="BU175" s="26">
        <v>0</v>
      </c>
      <c r="BV175" s="244"/>
      <c r="BW175" s="576">
        <f t="shared" si="87"/>
        <v>0</v>
      </c>
      <c r="BX175" s="577" t="str">
        <f>IF(BU175=0," ",(BW175-BU175)/BU175)</f>
        <v xml:space="preserve"> </v>
      </c>
      <c r="BZ175" s="166">
        <v>0</v>
      </c>
      <c r="CA175" s="166">
        <v>0</v>
      </c>
      <c r="CC175" s="753"/>
      <c r="CE175" s="166">
        <v>0</v>
      </c>
      <c r="CF175" s="166"/>
      <c r="CJ175" s="886"/>
      <c r="CK175" s="1"/>
      <c r="CO175" s="16"/>
    </row>
    <row r="176" spans="1:93" s="19" customFormat="1" x14ac:dyDescent="0.3">
      <c r="A176" s="27"/>
      <c r="B176" s="8"/>
      <c r="C176" s="42"/>
      <c r="D176" s="42"/>
      <c r="E176" s="54"/>
      <c r="F176" s="8"/>
      <c r="G176" s="8" t="s">
        <v>283</v>
      </c>
      <c r="H176" s="28">
        <f>SUM(H147:H175)</f>
        <v>153318</v>
      </c>
      <c r="I176" s="28">
        <f>SUM(I147:I175)</f>
        <v>35012.68</v>
      </c>
      <c r="J176" s="28">
        <f>SUM(J147:J175)</f>
        <v>188330.68000000002</v>
      </c>
      <c r="K176" s="123">
        <f>IF(H176=0," ",(J176-H176)/H176)</f>
        <v>0.2283664018575772</v>
      </c>
      <c r="M176" s="28">
        <f>SUM(M147:M175)</f>
        <v>188331</v>
      </c>
      <c r="N176" s="28">
        <f>SUM(N147:N175)</f>
        <v>188331</v>
      </c>
      <c r="P176" s="139">
        <f>SUM(P147:P175)</f>
        <v>0</v>
      </c>
      <c r="R176" s="28">
        <f>SUM(R147:R175)</f>
        <v>188331</v>
      </c>
      <c r="S176" s="28">
        <f>SUM(S147:S175)</f>
        <v>180681.80999999997</v>
      </c>
      <c r="U176" s="28">
        <f>SUM(U147:U175)</f>
        <v>188331</v>
      </c>
      <c r="V176" s="28">
        <f>SUM(V147:V175)</f>
        <v>0</v>
      </c>
      <c r="W176" s="28">
        <f>SUM(W147:W175)</f>
        <v>188331</v>
      </c>
      <c r="X176" s="123">
        <f>IF(U176=0," ",(W176-U176)/U176)</f>
        <v>0</v>
      </c>
      <c r="Z176" s="28">
        <f>SUM(Z147:Z175)</f>
        <v>188331</v>
      </c>
      <c r="AA176" s="28">
        <f>SUM(AA147:AA175)</f>
        <v>188331</v>
      </c>
      <c r="AC176" s="139"/>
      <c r="AE176" s="28">
        <f>SUM(AE147:AE175)</f>
        <v>188331</v>
      </c>
      <c r="AF176" s="201">
        <f>SUM(AF147:AF175)</f>
        <v>244147.87</v>
      </c>
      <c r="AH176" s="28">
        <f>SUM(AH147:AH175)</f>
        <v>188331</v>
      </c>
      <c r="AI176" s="28">
        <f>SUM(AI147:AI175)</f>
        <v>0</v>
      </c>
      <c r="AJ176" s="28">
        <f>SUM(AJ147:AJ175)</f>
        <v>188932.58</v>
      </c>
      <c r="AK176" s="123">
        <f>IF(AH176=0," ",(AJ176-AH176)/AH176)</f>
        <v>3.1942696635178869E-3</v>
      </c>
      <c r="AM176" s="28">
        <f>SUM(AM147:AM175)</f>
        <v>271471</v>
      </c>
      <c r="AN176" s="28">
        <f>SUM(AN147:AN175)</f>
        <v>271471</v>
      </c>
      <c r="AP176" s="139"/>
      <c r="AR176" s="28">
        <f>SUM(AR147:AR175)</f>
        <v>271471</v>
      </c>
      <c r="AS176" s="28">
        <f>SUM(AS147:AS175)</f>
        <v>234528.21000000002</v>
      </c>
      <c r="AU176" s="28">
        <f>SUM(AU147:AU175)</f>
        <v>271471</v>
      </c>
      <c r="AV176" s="28">
        <f>SUM(AV147:AV175)</f>
        <v>0</v>
      </c>
      <c r="AW176" s="28">
        <f>SUM(AW147:AW175)</f>
        <v>271471</v>
      </c>
      <c r="AX176" s="123">
        <f>IF(AU176=0," ",(AW176-AU176)/AU176)</f>
        <v>0</v>
      </c>
      <c r="AZ176" s="28">
        <f>SUM(AZ147:AZ175)</f>
        <v>271471</v>
      </c>
      <c r="BA176" s="28">
        <f>SUM(BA147:BA175)</f>
        <v>275122</v>
      </c>
      <c r="BC176" s="139"/>
      <c r="BE176" s="28">
        <f>SUM(BE147:BE175)</f>
        <v>275122</v>
      </c>
      <c r="BF176" s="28">
        <f>SUM(BF147:BF175)</f>
        <v>241697.32999999996</v>
      </c>
      <c r="BG176" s="9"/>
      <c r="BH176" s="28">
        <f>SUM(BH147:BH175)</f>
        <v>275122</v>
      </c>
      <c r="BI176" s="28">
        <f>SUM(BI147:BI175)</f>
        <v>-20850</v>
      </c>
      <c r="BJ176" s="28">
        <f>SUM(BJ147:BJ175)</f>
        <v>254272</v>
      </c>
      <c r="BK176" s="123">
        <f>IF(BH176=0," ",(BJ176-BH176)/BH176)</f>
        <v>-7.5784561031106201E-2</v>
      </c>
      <c r="BM176" s="28">
        <f>SUM(BM147:BM175)</f>
        <v>254272</v>
      </c>
      <c r="BN176" s="28">
        <f>SUM(BN147:BN175)</f>
        <v>265466</v>
      </c>
      <c r="BP176" s="139"/>
      <c r="BR176" s="28">
        <f>SUM(BR147:BR175)</f>
        <v>265466</v>
      </c>
      <c r="BS176" s="28">
        <f>SUM(BS147:BS175)</f>
        <v>109596.43000000002</v>
      </c>
      <c r="BT176" s="9"/>
      <c r="BU176" s="28">
        <f>SUM(BU147:BU175)</f>
        <v>265466</v>
      </c>
      <c r="BV176" s="532">
        <f>SUM(BV147:BV175)</f>
        <v>0</v>
      </c>
      <c r="BW176" s="591">
        <f>SUM(BW147:BW175)</f>
        <v>265466</v>
      </c>
      <c r="BX176" s="579">
        <f>IF(BU176=0," ",(BW176-BU176)/BU176)</f>
        <v>0</v>
      </c>
      <c r="BY176" s="580"/>
      <c r="BZ176" s="591">
        <f>SUM(BZ147:BZ175)</f>
        <v>265466</v>
      </c>
      <c r="CA176" s="591">
        <f>SUM(CA147:CA175)</f>
        <v>261841</v>
      </c>
      <c r="CB176" s="580"/>
      <c r="CC176" s="769"/>
      <c r="CD176" s="580"/>
      <c r="CE176" s="591">
        <f>SUM(CE147:CE175)</f>
        <v>261841</v>
      </c>
      <c r="CF176" s="591">
        <f>SUM(CF147:CF175)</f>
        <v>0</v>
      </c>
      <c r="CG176" s="9"/>
      <c r="CH176" s="815"/>
      <c r="CI176" s="815"/>
      <c r="CJ176" s="886"/>
      <c r="CK176" s="1"/>
      <c r="CO176" s="16"/>
    </row>
    <row r="177" spans="1:93" ht="9.9" customHeight="1" x14ac:dyDescent="0.3">
      <c r="AS177" s="16"/>
      <c r="CJ177" s="886"/>
      <c r="CK177" s="1"/>
      <c r="CO177" s="16"/>
    </row>
    <row r="178" spans="1:93" s="1" customFormat="1" x14ac:dyDescent="0.3">
      <c r="A178" s="20"/>
      <c r="B178" s="5"/>
      <c r="C178" s="39"/>
      <c r="D178" s="39"/>
      <c r="E178" s="51"/>
      <c r="F178" s="5"/>
      <c r="G178" s="21" t="s">
        <v>284</v>
      </c>
      <c r="H178" s="22">
        <f t="shared" ref="H178" si="95">H176</f>
        <v>153318</v>
      </c>
      <c r="I178" s="22">
        <f>I176</f>
        <v>35012.68</v>
      </c>
      <c r="J178" s="22">
        <f>J176</f>
        <v>188330.68000000002</v>
      </c>
      <c r="K178" s="124">
        <f>IF(H178=0," ",(J178-H178)/H178)</f>
        <v>0.2283664018575772</v>
      </c>
      <c r="M178" s="22">
        <f>M176</f>
        <v>188331</v>
      </c>
      <c r="N178" s="22">
        <f>N176</f>
        <v>188331</v>
      </c>
      <c r="P178" s="136">
        <f>P176</f>
        <v>0</v>
      </c>
      <c r="R178" s="22">
        <f>R176</f>
        <v>188331</v>
      </c>
      <c r="S178" s="22">
        <f>S176</f>
        <v>180681.80999999997</v>
      </c>
      <c r="U178" s="22">
        <f>U176</f>
        <v>188331</v>
      </c>
      <c r="V178" s="22">
        <f>V176</f>
        <v>0</v>
      </c>
      <c r="W178" s="22">
        <f>W176</f>
        <v>188331</v>
      </c>
      <c r="X178" s="124">
        <f>IF(U178=0," ",(W178-U178)/U178)</f>
        <v>0</v>
      </c>
      <c r="Z178" s="22">
        <f>Z176</f>
        <v>188331</v>
      </c>
      <c r="AA178" s="22">
        <f>AA176</f>
        <v>188331</v>
      </c>
      <c r="AC178" s="136"/>
      <c r="AE178" s="22">
        <f>AE176</f>
        <v>188331</v>
      </c>
      <c r="AF178" s="199">
        <f>AF176</f>
        <v>244147.87</v>
      </c>
      <c r="AH178" s="22">
        <v>188331</v>
      </c>
      <c r="AI178" s="22">
        <f>AI176</f>
        <v>0</v>
      </c>
      <c r="AJ178" s="22">
        <f>AJ176</f>
        <v>188932.58</v>
      </c>
      <c r="AK178" s="124">
        <f>IF(AH178=0," ",(AJ178-AH178)/AH178)</f>
        <v>3.1942696635178869E-3</v>
      </c>
      <c r="AM178" s="22">
        <f>AM176</f>
        <v>271471</v>
      </c>
      <c r="AN178" s="22">
        <f>AN176</f>
        <v>271471</v>
      </c>
      <c r="AP178" s="136"/>
      <c r="AR178" s="22">
        <f>AR176</f>
        <v>271471</v>
      </c>
      <c r="AS178" s="22">
        <f>AS176</f>
        <v>234528.21000000002</v>
      </c>
      <c r="AU178" s="22">
        <f>AU176</f>
        <v>271471</v>
      </c>
      <c r="AV178" s="22">
        <f>AV176</f>
        <v>0</v>
      </c>
      <c r="AW178" s="22">
        <f>AW176</f>
        <v>271471</v>
      </c>
      <c r="AX178" s="124">
        <f>IF(AU178=0," ",(AW178-AU178)/AU178)</f>
        <v>0</v>
      </c>
      <c r="AZ178" s="22">
        <f>AZ176</f>
        <v>271471</v>
      </c>
      <c r="BA178" s="22">
        <f>BA176</f>
        <v>275122</v>
      </c>
      <c r="BC178" s="136"/>
      <c r="BE178" s="22">
        <f>BE176</f>
        <v>275122</v>
      </c>
      <c r="BF178" s="22">
        <f>BF176</f>
        <v>241697.32999999996</v>
      </c>
      <c r="BH178" s="22">
        <f>BH176</f>
        <v>275122</v>
      </c>
      <c r="BI178" s="22">
        <f>BI176</f>
        <v>-20850</v>
      </c>
      <c r="BJ178" s="22">
        <f>BJ176</f>
        <v>254272</v>
      </c>
      <c r="BK178" s="124">
        <f>IF(BH178=0," ",(BJ178-BH178)/BH178)</f>
        <v>-7.5784561031106201E-2</v>
      </c>
      <c r="BM178" s="22">
        <f>BM176</f>
        <v>254272</v>
      </c>
      <c r="BN178" s="22">
        <f>BN176</f>
        <v>265466</v>
      </c>
      <c r="BP178" s="136"/>
      <c r="BR178" s="22">
        <f>BR176</f>
        <v>265466</v>
      </c>
      <c r="BS178" s="22">
        <f>BS176</f>
        <v>109596.43000000002</v>
      </c>
      <c r="BU178" s="22">
        <f>BU176</f>
        <v>265466</v>
      </c>
      <c r="BV178" s="531">
        <f>BV176</f>
        <v>0</v>
      </c>
      <c r="BW178" s="581">
        <f>BW176</f>
        <v>265466</v>
      </c>
      <c r="BX178" s="582">
        <f>IF(BU178=0," ",(BW178-BU178)/BU178)</f>
        <v>0</v>
      </c>
      <c r="BY178" s="573"/>
      <c r="BZ178" s="581">
        <f>BZ176</f>
        <v>265466</v>
      </c>
      <c r="CA178" s="581">
        <f>CA176</f>
        <v>261841</v>
      </c>
      <c r="CB178" s="573"/>
      <c r="CC178" s="764"/>
      <c r="CD178" s="573"/>
      <c r="CE178" s="581">
        <f>CE176</f>
        <v>261841</v>
      </c>
      <c r="CF178" s="581">
        <f>CF176</f>
        <v>0</v>
      </c>
      <c r="CH178" s="812"/>
      <c r="CI178" s="812"/>
      <c r="CJ178" s="886"/>
      <c r="CO178" s="16"/>
    </row>
    <row r="179" spans="1:93" ht="20.100000000000001" customHeight="1" x14ac:dyDescent="0.3">
      <c r="AS179" s="16"/>
      <c r="CJ179" s="886"/>
      <c r="CK179" s="1"/>
      <c r="CO179" s="16"/>
    </row>
    <row r="180" spans="1:93" s="1" customFormat="1" ht="15.6" x14ac:dyDescent="0.3">
      <c r="A180" s="14" t="s">
        <v>286</v>
      </c>
      <c r="B180" s="2"/>
      <c r="C180" s="36"/>
      <c r="D180" s="36"/>
      <c r="E180" s="48"/>
      <c r="F180" s="2"/>
      <c r="G180" s="2"/>
      <c r="H180" s="15"/>
      <c r="I180" s="15"/>
      <c r="J180" s="15"/>
      <c r="K180" s="121"/>
      <c r="M180" s="15"/>
      <c r="N180" s="15"/>
      <c r="P180" s="133"/>
      <c r="R180" s="15"/>
      <c r="S180" s="15"/>
      <c r="U180" s="15"/>
      <c r="V180" s="15"/>
      <c r="W180" s="15"/>
      <c r="X180" s="121"/>
      <c r="Z180" s="15"/>
      <c r="AA180" s="15"/>
      <c r="AC180" s="133"/>
      <c r="AE180" s="15"/>
      <c r="AF180" s="196"/>
      <c r="AH180" s="15"/>
      <c r="AI180" s="15"/>
      <c r="AJ180" s="15"/>
      <c r="AK180" s="121"/>
      <c r="AM180" s="15"/>
      <c r="AN180" s="15"/>
      <c r="AP180" s="133"/>
      <c r="AR180" s="15"/>
      <c r="AS180" s="15"/>
      <c r="AU180" s="15"/>
      <c r="AV180" s="15"/>
      <c r="AW180" s="15"/>
      <c r="AX180" s="121"/>
      <c r="AZ180" s="15"/>
      <c r="BA180" s="15"/>
      <c r="BC180" s="133"/>
      <c r="BE180" s="15"/>
      <c r="BF180" s="15"/>
      <c r="BH180" s="15"/>
      <c r="BI180" s="15"/>
      <c r="BJ180" s="15"/>
      <c r="BK180" s="121"/>
      <c r="BM180" s="15"/>
      <c r="BN180" s="15"/>
      <c r="BP180" s="234"/>
      <c r="BR180" s="15"/>
      <c r="BS180" s="15"/>
      <c r="BU180" s="15"/>
      <c r="BV180" s="529"/>
      <c r="BW180" s="574"/>
      <c r="BX180" s="575"/>
      <c r="BY180" s="573"/>
      <c r="BZ180" s="574"/>
      <c r="CA180" s="574"/>
      <c r="CB180" s="573"/>
      <c r="CC180" s="761"/>
      <c r="CD180" s="573"/>
      <c r="CE180" s="574"/>
      <c r="CF180" s="574"/>
      <c r="CH180" s="812"/>
      <c r="CI180" s="812"/>
      <c r="CJ180" s="886"/>
      <c r="CO180" s="16"/>
    </row>
    <row r="181" spans="1:93" x14ac:dyDescent="0.3">
      <c r="A181" s="11">
        <v>151</v>
      </c>
      <c r="B181" s="3" t="s">
        <v>2</v>
      </c>
      <c r="C181" s="37">
        <v>15105</v>
      </c>
      <c r="D181" s="37">
        <v>52100</v>
      </c>
      <c r="E181" s="49" t="s">
        <v>118</v>
      </c>
      <c r="F181" s="3" t="s">
        <v>2</v>
      </c>
      <c r="G181" s="3" t="s">
        <v>640</v>
      </c>
      <c r="H181" s="26">
        <v>600</v>
      </c>
      <c r="I181" s="244"/>
      <c r="J181" s="16">
        <f>H181+I181</f>
        <v>600</v>
      </c>
      <c r="K181" s="122">
        <f>IF(H181=0," ",(J181-H181)/H181)</f>
        <v>0</v>
      </c>
      <c r="M181" s="117">
        <v>600</v>
      </c>
      <c r="N181" s="117">
        <v>600</v>
      </c>
      <c r="P181" s="259" t="s">
        <v>547</v>
      </c>
      <c r="R181" s="26">
        <v>600</v>
      </c>
      <c r="S181" s="26">
        <v>281.89999999999998</v>
      </c>
      <c r="U181" s="26">
        <v>600</v>
      </c>
      <c r="V181" s="244">
        <v>0</v>
      </c>
      <c r="W181" s="16">
        <f>U181+V181</f>
        <v>600</v>
      </c>
      <c r="X181" s="122">
        <f>IF(U181=0," ",(W181-U181)/U181)</f>
        <v>0</v>
      </c>
      <c r="Z181" s="117">
        <v>600</v>
      </c>
      <c r="AA181" s="117">
        <v>600</v>
      </c>
      <c r="AC181" s="259"/>
      <c r="AE181" s="26">
        <v>600</v>
      </c>
      <c r="AF181" s="200">
        <v>246.76</v>
      </c>
      <c r="AH181" s="26">
        <v>600</v>
      </c>
      <c r="AI181" s="244"/>
      <c r="AJ181" s="16">
        <f>AH181+AI181</f>
        <v>600</v>
      </c>
      <c r="AK181" s="122">
        <f>IF(AH181=0," ",(AJ181-AH181)/AH181)</f>
        <v>0</v>
      </c>
      <c r="AM181" s="117">
        <v>600</v>
      </c>
      <c r="AN181" s="117">
        <v>600</v>
      </c>
      <c r="AP181" s="259"/>
      <c r="AR181" s="26">
        <v>600</v>
      </c>
      <c r="AS181" s="26">
        <v>600.98</v>
      </c>
      <c r="AU181" s="26">
        <f>AR181</f>
        <v>600</v>
      </c>
      <c r="AV181" s="244">
        <v>-200</v>
      </c>
      <c r="AW181" s="16">
        <f>AU181+AV181</f>
        <v>400</v>
      </c>
      <c r="AX181" s="122">
        <f>IF(AU181=0," ",(AW181-AU181)/AU181)</f>
        <v>-0.33333333333333331</v>
      </c>
      <c r="AZ181" s="117">
        <v>400</v>
      </c>
      <c r="BA181" s="117">
        <v>400</v>
      </c>
      <c r="BC181" s="259" t="s">
        <v>986</v>
      </c>
      <c r="BE181" s="26">
        <v>400</v>
      </c>
      <c r="BF181" s="26">
        <v>413.11</v>
      </c>
      <c r="BH181" s="26">
        <v>400</v>
      </c>
      <c r="BI181" s="244"/>
      <c r="BJ181" s="16">
        <f>BH181+BI181</f>
        <v>400</v>
      </c>
      <c r="BK181" s="122">
        <f>IF(BH181=0," ",(BJ181-BH181)/BH181)</f>
        <v>0</v>
      </c>
      <c r="BM181" s="117">
        <v>400</v>
      </c>
      <c r="BN181" s="117">
        <v>400</v>
      </c>
      <c r="BP181" s="259" t="s">
        <v>986</v>
      </c>
      <c r="BR181" s="117">
        <v>400</v>
      </c>
      <c r="BS181" s="26">
        <v>231.41</v>
      </c>
      <c r="BU181" s="26">
        <v>400</v>
      </c>
      <c r="BV181" s="244"/>
      <c r="BW181" s="576">
        <f>BU181+BV181</f>
        <v>400</v>
      </c>
      <c r="BX181" s="577">
        <f>IF(BU181=0," ",(BW181-BU181)/BU181)</f>
        <v>0</v>
      </c>
      <c r="BZ181" s="166">
        <v>400</v>
      </c>
      <c r="CA181" s="166">
        <v>625</v>
      </c>
      <c r="CC181" s="753" t="s">
        <v>1418</v>
      </c>
      <c r="CE181" s="247">
        <f>400+225</f>
        <v>625</v>
      </c>
      <c r="CF181" s="166"/>
      <c r="CH181" s="813">
        <v>225</v>
      </c>
      <c r="CJ181" s="886"/>
      <c r="CK181" s="1"/>
      <c r="CO181" s="16"/>
    </row>
    <row r="182" spans="1:93" s="19" customFormat="1" x14ac:dyDescent="0.3">
      <c r="A182" s="27"/>
      <c r="B182" s="8"/>
      <c r="C182" s="42"/>
      <c r="D182" s="42"/>
      <c r="E182" s="54"/>
      <c r="F182" s="8"/>
      <c r="G182" s="8" t="s">
        <v>288</v>
      </c>
      <c r="H182" s="28">
        <f t="shared" ref="H182" si="96">SUM(H181)</f>
        <v>600</v>
      </c>
      <c r="I182" s="28">
        <f>SUM(I181)</f>
        <v>0</v>
      </c>
      <c r="J182" s="28">
        <f>SUM(J181)</f>
        <v>600</v>
      </c>
      <c r="K182" s="123">
        <f>IF(H182=0," ",(J182-H182)/H182)</f>
        <v>0</v>
      </c>
      <c r="M182" s="28">
        <f>SUM(M181)</f>
        <v>600</v>
      </c>
      <c r="N182" s="28">
        <f>SUM(N181)</f>
        <v>600</v>
      </c>
      <c r="P182" s="139">
        <f>SUM(P181)</f>
        <v>0</v>
      </c>
      <c r="R182" s="28">
        <f>SUM(R181)</f>
        <v>600</v>
      </c>
      <c r="S182" s="28">
        <f>SUM(S181)</f>
        <v>281.89999999999998</v>
      </c>
      <c r="U182" s="28">
        <f>SUM(U181)</f>
        <v>600</v>
      </c>
      <c r="V182" s="28">
        <f>SUM(V181)</f>
        <v>0</v>
      </c>
      <c r="W182" s="28">
        <f>SUM(W181)</f>
        <v>600</v>
      </c>
      <c r="X182" s="123">
        <f>IF(U182=0," ",(W182-U182)/U182)</f>
        <v>0</v>
      </c>
      <c r="Z182" s="28">
        <f>SUM(Z181)</f>
        <v>600</v>
      </c>
      <c r="AA182" s="28">
        <f>SUM(AA181)</f>
        <v>600</v>
      </c>
      <c r="AC182" s="139"/>
      <c r="AE182" s="28">
        <f>SUM(AE181)</f>
        <v>600</v>
      </c>
      <c r="AF182" s="201">
        <f>SUM(AF181)</f>
        <v>246.76</v>
      </c>
      <c r="AH182" s="28">
        <v>600</v>
      </c>
      <c r="AI182" s="28">
        <f>SUM(AI181)</f>
        <v>0</v>
      </c>
      <c r="AJ182" s="28">
        <f>SUM(AJ181)</f>
        <v>600</v>
      </c>
      <c r="AK182" s="123">
        <f>IF(AH182=0," ",(AJ182-AH182)/AH182)</f>
        <v>0</v>
      </c>
      <c r="AM182" s="28">
        <f>SUM(AM181)</f>
        <v>600</v>
      </c>
      <c r="AN182" s="28">
        <f>SUM(AN181)</f>
        <v>600</v>
      </c>
      <c r="AP182" s="139"/>
      <c r="AR182" s="28">
        <f>SUM(AR181)</f>
        <v>600</v>
      </c>
      <c r="AS182" s="28">
        <f>SUM(AS181)</f>
        <v>600.98</v>
      </c>
      <c r="AU182" s="28">
        <f>SUM(AU181)</f>
        <v>600</v>
      </c>
      <c r="AV182" s="28">
        <f>SUM(AV181)</f>
        <v>-200</v>
      </c>
      <c r="AW182" s="28">
        <f>SUM(AW181)</f>
        <v>400</v>
      </c>
      <c r="AX182" s="123">
        <f>IF(AU182=0," ",(AW182-AU182)/AU182)</f>
        <v>-0.33333333333333331</v>
      </c>
      <c r="AZ182" s="28">
        <f>SUM(AZ181)</f>
        <v>400</v>
      </c>
      <c r="BA182" s="28">
        <f>SUM(BA181)</f>
        <v>400</v>
      </c>
      <c r="BC182" s="139"/>
      <c r="BE182" s="28">
        <f>SUM(BE181)</f>
        <v>400</v>
      </c>
      <c r="BF182" s="28">
        <f>SUM(BF181)</f>
        <v>413.11</v>
      </c>
      <c r="BG182" s="9"/>
      <c r="BH182" s="28">
        <f>SUM(BH181)</f>
        <v>400</v>
      </c>
      <c r="BI182" s="28">
        <f>SUM(BI181)</f>
        <v>0</v>
      </c>
      <c r="BJ182" s="28">
        <f>SUM(BJ181)</f>
        <v>400</v>
      </c>
      <c r="BK182" s="123">
        <f>IF(BH182=0," ",(BJ182-BH182)/BH182)</f>
        <v>0</v>
      </c>
      <c r="BM182" s="28">
        <f>SUM(BM181)</f>
        <v>400</v>
      </c>
      <c r="BN182" s="28">
        <f>SUM(BN181)</f>
        <v>400</v>
      </c>
      <c r="BP182" s="139"/>
      <c r="BR182" s="28">
        <f>SUM(BR181)</f>
        <v>400</v>
      </c>
      <c r="BS182" s="28">
        <f>SUM(BS181)</f>
        <v>231.41</v>
      </c>
      <c r="BT182" s="9"/>
      <c r="BU182" s="28">
        <f>SUM(BU181)</f>
        <v>400</v>
      </c>
      <c r="BV182" s="532">
        <f>SUM(BV181)</f>
        <v>0</v>
      </c>
      <c r="BW182" s="591">
        <f>SUM(BW181)</f>
        <v>400</v>
      </c>
      <c r="BX182" s="579">
        <f>IF(BU182=0," ",(BW182-BU182)/BU182)</f>
        <v>0</v>
      </c>
      <c r="BY182" s="580"/>
      <c r="BZ182" s="591">
        <f>SUM(BZ181)</f>
        <v>400</v>
      </c>
      <c r="CA182" s="591">
        <f>SUM(CA181)</f>
        <v>625</v>
      </c>
      <c r="CB182" s="580"/>
      <c r="CC182" s="769"/>
      <c r="CD182" s="580"/>
      <c r="CE182" s="591">
        <f>SUM(CE181)</f>
        <v>625</v>
      </c>
      <c r="CF182" s="591">
        <f>SUM(CF181)</f>
        <v>0</v>
      </c>
      <c r="CG182" s="9"/>
      <c r="CH182" s="815"/>
      <c r="CI182" s="815"/>
      <c r="CJ182" s="886"/>
      <c r="CK182" s="1"/>
      <c r="CO182" s="16"/>
    </row>
    <row r="183" spans="1:93" ht="9.9" customHeight="1" x14ac:dyDescent="0.3">
      <c r="AS183" s="16"/>
      <c r="CJ183" s="886"/>
      <c r="CK183" s="1"/>
      <c r="CO183" s="16"/>
    </row>
    <row r="184" spans="1:93" s="1" customFormat="1" x14ac:dyDescent="0.3">
      <c r="A184" s="20"/>
      <c r="B184" s="5"/>
      <c r="C184" s="39"/>
      <c r="D184" s="39"/>
      <c r="E184" s="51"/>
      <c r="F184" s="5"/>
      <c r="G184" s="21" t="s">
        <v>287</v>
      </c>
      <c r="H184" s="22">
        <f t="shared" ref="H184" si="97">H182</f>
        <v>600</v>
      </c>
      <c r="I184" s="22">
        <f>I182</f>
        <v>0</v>
      </c>
      <c r="J184" s="22">
        <f>J182</f>
        <v>600</v>
      </c>
      <c r="K184" s="124">
        <f>IF(H184=0," ",(J184-H184)/H184)</f>
        <v>0</v>
      </c>
      <c r="M184" s="22">
        <f>M182</f>
        <v>600</v>
      </c>
      <c r="N184" s="22">
        <f>N182</f>
        <v>600</v>
      </c>
      <c r="P184" s="136">
        <f>P182</f>
        <v>0</v>
      </c>
      <c r="R184" s="22">
        <f>R182</f>
        <v>600</v>
      </c>
      <c r="S184" s="22">
        <f>S182</f>
        <v>281.89999999999998</v>
      </c>
      <c r="U184" s="22">
        <f>U182</f>
        <v>600</v>
      </c>
      <c r="V184" s="22">
        <f>V182</f>
        <v>0</v>
      </c>
      <c r="W184" s="22">
        <f>W182</f>
        <v>600</v>
      </c>
      <c r="X184" s="124">
        <f>IF(U184=0," ",(W184-U184)/U184)</f>
        <v>0</v>
      </c>
      <c r="Z184" s="22">
        <f>Z182</f>
        <v>600</v>
      </c>
      <c r="AA184" s="22">
        <f>AA182</f>
        <v>600</v>
      </c>
      <c r="AC184" s="136"/>
      <c r="AE184" s="22">
        <f>AE182</f>
        <v>600</v>
      </c>
      <c r="AF184" s="199">
        <f>AF182</f>
        <v>246.76</v>
      </c>
      <c r="AH184" s="22">
        <v>600</v>
      </c>
      <c r="AI184" s="22">
        <f>AI182</f>
        <v>0</v>
      </c>
      <c r="AJ184" s="22">
        <f>AJ182</f>
        <v>600</v>
      </c>
      <c r="AK184" s="124">
        <f>IF(AH184=0," ",(AJ184-AH184)/AH184)</f>
        <v>0</v>
      </c>
      <c r="AM184" s="22">
        <f>AM182</f>
        <v>600</v>
      </c>
      <c r="AN184" s="22">
        <f>AN182</f>
        <v>600</v>
      </c>
      <c r="AP184" s="136"/>
      <c r="AR184" s="22">
        <f>AR182</f>
        <v>600</v>
      </c>
      <c r="AS184" s="22">
        <f>AS182</f>
        <v>600.98</v>
      </c>
      <c r="AU184" s="22">
        <f>AU182</f>
        <v>600</v>
      </c>
      <c r="AV184" s="22">
        <f>AV182</f>
        <v>-200</v>
      </c>
      <c r="AW184" s="22">
        <f>AW182</f>
        <v>400</v>
      </c>
      <c r="AX184" s="124">
        <f>IF(AU184=0," ",(AW184-AU184)/AU184)</f>
        <v>-0.33333333333333331</v>
      </c>
      <c r="AZ184" s="22">
        <f>AZ182</f>
        <v>400</v>
      </c>
      <c r="BA184" s="22">
        <f>BA182</f>
        <v>400</v>
      </c>
      <c r="BC184" s="136"/>
      <c r="BE184" s="22">
        <f>BE182</f>
        <v>400</v>
      </c>
      <c r="BF184" s="22">
        <f>BF182</f>
        <v>413.11</v>
      </c>
      <c r="BH184" s="22">
        <f>BH182</f>
        <v>400</v>
      </c>
      <c r="BI184" s="22">
        <f>BI182</f>
        <v>0</v>
      </c>
      <c r="BJ184" s="22">
        <f>BJ182</f>
        <v>400</v>
      </c>
      <c r="BK184" s="124">
        <f>IF(BH184=0," ",(BJ184-BH184)/BH184)</f>
        <v>0</v>
      </c>
      <c r="BM184" s="22">
        <f>BM182</f>
        <v>400</v>
      </c>
      <c r="BN184" s="22">
        <f>BN182</f>
        <v>400</v>
      </c>
      <c r="BP184" s="136"/>
      <c r="BR184" s="22">
        <f>BR182</f>
        <v>400</v>
      </c>
      <c r="BS184" s="22">
        <f>BS182</f>
        <v>231.41</v>
      </c>
      <c r="BU184" s="22">
        <f>BU182</f>
        <v>400</v>
      </c>
      <c r="BV184" s="531">
        <f>BV182</f>
        <v>0</v>
      </c>
      <c r="BW184" s="581">
        <f>BW182</f>
        <v>400</v>
      </c>
      <c r="BX184" s="582">
        <f>IF(BU184=0," ",(BW184-BU184)/BU184)</f>
        <v>0</v>
      </c>
      <c r="BY184" s="573"/>
      <c r="BZ184" s="581">
        <f>BZ182</f>
        <v>400</v>
      </c>
      <c r="CA184" s="581">
        <f>CA182</f>
        <v>625</v>
      </c>
      <c r="CB184" s="573"/>
      <c r="CC184" s="764"/>
      <c r="CD184" s="573"/>
      <c r="CE184" s="581">
        <f>CE182</f>
        <v>625</v>
      </c>
      <c r="CF184" s="581">
        <f>CF182</f>
        <v>0</v>
      </c>
      <c r="CH184" s="812"/>
      <c r="CI184" s="812"/>
      <c r="CJ184" s="886"/>
      <c r="CO184" s="16"/>
    </row>
    <row r="185" spans="1:93" ht="20.100000000000001" customHeight="1" x14ac:dyDescent="0.3">
      <c r="AS185" s="16"/>
      <c r="CJ185" s="886"/>
      <c r="CK185" s="1"/>
      <c r="CO185" s="16"/>
    </row>
    <row r="186" spans="1:93" s="1" customFormat="1" ht="15.6" x14ac:dyDescent="0.3">
      <c r="A186" s="14" t="s">
        <v>591</v>
      </c>
      <c r="B186" s="2"/>
      <c r="C186" s="36"/>
      <c r="D186" s="36"/>
      <c r="E186" s="48"/>
      <c r="F186" s="2"/>
      <c r="G186" s="2"/>
      <c r="H186" s="15"/>
      <c r="I186" s="15"/>
      <c r="J186" s="15"/>
      <c r="K186" s="121"/>
      <c r="M186" s="15"/>
      <c r="N186" s="15"/>
      <c r="P186" s="133"/>
      <c r="R186" s="15"/>
      <c r="S186" s="15"/>
      <c r="U186" s="15"/>
      <c r="V186" s="15"/>
      <c r="W186" s="15"/>
      <c r="X186" s="121"/>
      <c r="Z186" s="15"/>
      <c r="AA186" s="15"/>
      <c r="AC186" s="133"/>
      <c r="AE186" s="15"/>
      <c r="AF186" s="196"/>
      <c r="AH186" s="15"/>
      <c r="AI186" s="15"/>
      <c r="AJ186" s="15"/>
      <c r="AK186" s="121"/>
      <c r="AM186" s="15"/>
      <c r="AN186" s="15"/>
      <c r="AP186" s="133"/>
      <c r="AR186" s="15"/>
      <c r="AS186" s="15"/>
      <c r="AU186" s="15"/>
      <c r="AV186" s="15"/>
      <c r="AW186" s="15"/>
      <c r="AX186" s="121"/>
      <c r="AZ186" s="15"/>
      <c r="BA186" s="15"/>
      <c r="BC186" s="133"/>
      <c r="BE186" s="15"/>
      <c r="BF186" s="15"/>
      <c r="BH186" s="15"/>
      <c r="BI186" s="15"/>
      <c r="BJ186" s="15"/>
      <c r="BK186" s="121"/>
      <c r="BM186" s="15"/>
      <c r="BN186" s="15"/>
      <c r="BP186" s="234"/>
      <c r="BR186" s="15"/>
      <c r="BS186" s="15"/>
      <c r="BU186" s="15"/>
      <c r="BV186" s="529"/>
      <c r="BW186" s="574"/>
      <c r="BX186" s="575"/>
      <c r="BY186" s="573"/>
      <c r="BZ186" s="574"/>
      <c r="CA186" s="574"/>
      <c r="CB186" s="573"/>
      <c r="CC186" s="761"/>
      <c r="CD186" s="573"/>
      <c r="CE186" s="574"/>
      <c r="CF186" s="574"/>
      <c r="CH186" s="812"/>
      <c r="CI186" s="812"/>
      <c r="CJ186" s="886"/>
      <c r="CO186" s="16"/>
    </row>
    <row r="187" spans="1:93" x14ac:dyDescent="0.3">
      <c r="A187" s="11">
        <v>157</v>
      </c>
      <c r="B187" s="3" t="s">
        <v>2</v>
      </c>
      <c r="C187" s="37">
        <v>15702</v>
      </c>
      <c r="D187" s="37">
        <v>51140</v>
      </c>
      <c r="E187" s="49" t="s">
        <v>11</v>
      </c>
      <c r="F187" s="3" t="s">
        <v>2</v>
      </c>
      <c r="G187" s="287" t="s">
        <v>910</v>
      </c>
      <c r="H187" s="26">
        <v>1858</v>
      </c>
      <c r="I187" s="244">
        <v>-1858</v>
      </c>
      <c r="J187" s="16">
        <f>H187+I187</f>
        <v>0</v>
      </c>
      <c r="K187" s="122">
        <f>IF(H187=0," ",(J187-H187)/H187)</f>
        <v>-1</v>
      </c>
      <c r="M187" s="117"/>
      <c r="N187" s="117"/>
      <c r="P187" s="259"/>
      <c r="R187" s="26"/>
      <c r="S187" s="26"/>
      <c r="U187" s="26"/>
      <c r="V187" s="244">
        <v>0</v>
      </c>
      <c r="W187" s="16">
        <f>U187+V187</f>
        <v>0</v>
      </c>
      <c r="X187" s="122" t="str">
        <f>IF(U187=0," ",(W187-U187)/U187)</f>
        <v xml:space="preserve"> </v>
      </c>
      <c r="Z187" s="117">
        <v>0</v>
      </c>
      <c r="AA187" s="117"/>
      <c r="AC187" s="259"/>
      <c r="AE187" s="26"/>
      <c r="AF187" s="200">
        <v>0</v>
      </c>
      <c r="AH187" s="26"/>
      <c r="AI187" s="244"/>
      <c r="AJ187" s="16">
        <f>AH187+AI187</f>
        <v>0</v>
      </c>
      <c r="AK187" s="122" t="str">
        <f>IF(AH187=0," ",(AJ187-AH187)/AH187)</f>
        <v xml:space="preserve"> </v>
      </c>
      <c r="AM187" s="117">
        <v>0</v>
      </c>
      <c r="AN187" s="117">
        <v>0</v>
      </c>
      <c r="AP187" s="259"/>
      <c r="AR187" s="26">
        <v>0</v>
      </c>
      <c r="AS187" s="26"/>
      <c r="AU187" s="26">
        <f>AR187</f>
        <v>0</v>
      </c>
      <c r="AV187" s="244"/>
      <c r="AW187" s="16">
        <f>AU187+AV187</f>
        <v>0</v>
      </c>
      <c r="AX187" s="122" t="str">
        <f>IF(AU187=0," ",(AW187-AU187)/AU187)</f>
        <v xml:space="preserve"> </v>
      </c>
      <c r="AZ187" s="117"/>
      <c r="BA187" s="117"/>
      <c r="BC187" s="259"/>
      <c r="BE187" s="26"/>
      <c r="BF187" s="26"/>
      <c r="BH187" s="26"/>
      <c r="BI187" s="244"/>
      <c r="BJ187" s="16">
        <f>BH187+BI187</f>
        <v>0</v>
      </c>
      <c r="BK187" s="122" t="str">
        <f>IF(BH187=0," ",(BJ187-BH187)/BH187)</f>
        <v xml:space="preserve"> </v>
      </c>
      <c r="BM187" s="117"/>
      <c r="BN187" s="117"/>
      <c r="BP187" s="259"/>
      <c r="BR187" s="117"/>
      <c r="BS187" s="26"/>
      <c r="BU187" s="26"/>
      <c r="BV187" s="244"/>
      <c r="BW187" s="576">
        <f>BU187+BV187</f>
        <v>0</v>
      </c>
      <c r="BX187" s="577" t="str">
        <f>IF(BU187=0," ",(BW187-BU187)/BU187)</f>
        <v xml:space="preserve"> </v>
      </c>
      <c r="BZ187" s="166">
        <v>0</v>
      </c>
      <c r="CA187" s="166">
        <v>0</v>
      </c>
      <c r="CC187" s="753"/>
      <c r="CE187" s="166">
        <v>0</v>
      </c>
      <c r="CF187" s="166"/>
      <c r="CJ187" s="886"/>
      <c r="CK187" s="1"/>
      <c r="CO187" s="16"/>
    </row>
    <row r="188" spans="1:93" x14ac:dyDescent="0.3">
      <c r="A188" s="11">
        <v>157</v>
      </c>
      <c r="C188" s="37">
        <v>15702</v>
      </c>
      <c r="D188" s="37">
        <v>51142</v>
      </c>
      <c r="E188" s="49" t="s">
        <v>11</v>
      </c>
      <c r="G188" s="826" t="s">
        <v>1580</v>
      </c>
      <c r="H188" s="26"/>
      <c r="I188" s="244"/>
      <c r="M188" s="117"/>
      <c r="N188" s="117"/>
      <c r="P188" s="259"/>
      <c r="R188" s="26"/>
      <c r="S188" s="26"/>
      <c r="U188" s="26"/>
      <c r="V188" s="244"/>
      <c r="Z188" s="117"/>
      <c r="AA188" s="117"/>
      <c r="AC188" s="259"/>
      <c r="AE188" s="26"/>
      <c r="AF188" s="200"/>
      <c r="AH188" s="26"/>
      <c r="AI188" s="244"/>
      <c r="AM188" s="117"/>
      <c r="AN188" s="117"/>
      <c r="AP188" s="259"/>
      <c r="AR188" s="26"/>
      <c r="AS188" s="26"/>
      <c r="AU188" s="26"/>
      <c r="AV188" s="244"/>
      <c r="AZ188" s="117"/>
      <c r="BA188" s="117"/>
      <c r="BC188" s="259"/>
      <c r="BE188" s="26"/>
      <c r="BF188" s="26"/>
      <c r="BH188" s="26"/>
      <c r="BI188" s="244"/>
      <c r="BM188" s="117"/>
      <c r="BN188" s="117"/>
      <c r="BP188" s="259"/>
      <c r="BR188" s="117"/>
      <c r="BS188" s="26"/>
      <c r="BU188" s="26"/>
      <c r="BV188" s="244">
        <v>5048</v>
      </c>
      <c r="BW188" s="576">
        <f>BU188+BV188</f>
        <v>5048</v>
      </c>
      <c r="BZ188" s="166">
        <v>5048</v>
      </c>
      <c r="CA188" s="166">
        <v>5048</v>
      </c>
      <c r="CC188" s="765" t="s">
        <v>1589</v>
      </c>
      <c r="CE188" s="166">
        <v>5048</v>
      </c>
      <c r="CF188" s="166"/>
      <c r="CJ188" s="886"/>
      <c r="CK188" s="1"/>
      <c r="CO188" s="16"/>
    </row>
    <row r="189" spans="1:93" x14ac:dyDescent="0.3">
      <c r="A189" s="11">
        <v>157</v>
      </c>
      <c r="C189" s="37">
        <v>15702</v>
      </c>
      <c r="D189" s="37">
        <v>51491</v>
      </c>
      <c r="E189" s="49" t="s">
        <v>11</v>
      </c>
      <c r="G189" s="590" t="s">
        <v>1581</v>
      </c>
      <c r="H189" s="26">
        <v>0</v>
      </c>
      <c r="I189" s="244">
        <v>33000</v>
      </c>
      <c r="J189" s="16">
        <f>H189+I189</f>
        <v>33000</v>
      </c>
      <c r="M189" s="117">
        <v>34500</v>
      </c>
      <c r="N189" s="117">
        <v>34500</v>
      </c>
      <c r="P189" s="259" t="s">
        <v>556</v>
      </c>
      <c r="R189" s="26">
        <v>34500</v>
      </c>
      <c r="S189" s="26"/>
      <c r="U189" s="26">
        <v>34500</v>
      </c>
      <c r="V189" s="244">
        <v>0</v>
      </c>
      <c r="W189" s="16">
        <f>U189+V189</f>
        <v>34500</v>
      </c>
      <c r="Z189" s="117">
        <v>34500</v>
      </c>
      <c r="AA189" s="117">
        <v>36500</v>
      </c>
      <c r="AC189" s="259" t="s">
        <v>737</v>
      </c>
      <c r="AE189" s="26"/>
      <c r="AF189" s="200">
        <v>0</v>
      </c>
      <c r="AH189" s="26"/>
      <c r="AI189" s="244"/>
      <c r="AJ189" s="16">
        <f>AH189+AI189</f>
        <v>0</v>
      </c>
      <c r="AM189" s="117">
        <v>5000</v>
      </c>
      <c r="AN189" s="117">
        <v>5000</v>
      </c>
      <c r="AO189" s="178"/>
      <c r="AP189" s="289" t="s">
        <v>898</v>
      </c>
      <c r="AR189" s="26">
        <v>5000</v>
      </c>
      <c r="AS189" s="26">
        <v>4999.92</v>
      </c>
      <c r="AU189" s="26">
        <f>AR189</f>
        <v>5000</v>
      </c>
      <c r="AV189" s="244"/>
      <c r="AW189" s="16">
        <f>AU189+AV189</f>
        <v>5000</v>
      </c>
      <c r="AZ189" s="117">
        <v>5000</v>
      </c>
      <c r="BA189" s="117">
        <v>5000</v>
      </c>
      <c r="BB189" s="178"/>
      <c r="BC189" s="289"/>
      <c r="BE189" s="26">
        <v>5000</v>
      </c>
      <c r="BF189" s="26">
        <v>5000</v>
      </c>
      <c r="BH189" s="26">
        <v>5000</v>
      </c>
      <c r="BI189" s="244"/>
      <c r="BJ189" s="16">
        <f>BH189+BI189</f>
        <v>5000</v>
      </c>
      <c r="BM189" s="117">
        <v>5000</v>
      </c>
      <c r="BN189" s="117">
        <v>5000</v>
      </c>
      <c r="BO189" s="178"/>
      <c r="BP189" s="301"/>
      <c r="BR189" s="117">
        <v>5000</v>
      </c>
      <c r="BS189" s="26">
        <v>2499.96</v>
      </c>
      <c r="BU189" s="26">
        <v>5000</v>
      </c>
      <c r="BV189" s="244">
        <v>-5000</v>
      </c>
      <c r="BW189" s="576">
        <f>BU189+BV189</f>
        <v>0</v>
      </c>
      <c r="BZ189" s="166">
        <v>0</v>
      </c>
      <c r="CA189" s="166">
        <v>0</v>
      </c>
      <c r="CC189" s="765"/>
      <c r="CE189" s="166">
        <v>0</v>
      </c>
      <c r="CF189" s="166"/>
      <c r="CJ189" s="886"/>
      <c r="CK189" s="1"/>
      <c r="CO189" s="16"/>
    </row>
    <row r="190" spans="1:93" s="19" customFormat="1" x14ac:dyDescent="0.3">
      <c r="A190" s="27"/>
      <c r="B190" s="8"/>
      <c r="C190" s="42"/>
      <c r="D190" s="42"/>
      <c r="E190" s="54"/>
      <c r="F190" s="8"/>
      <c r="G190" s="56" t="s">
        <v>592</v>
      </c>
      <c r="H190" s="28">
        <f t="shared" ref="H190" si="98">SUM(H187)</f>
        <v>1858</v>
      </c>
      <c r="I190" s="28">
        <f>SUM(I187)</f>
        <v>-1858</v>
      </c>
      <c r="J190" s="28">
        <f>SUM(J187)</f>
        <v>0</v>
      </c>
      <c r="K190" s="123">
        <f>IF(H190=0," ",(J190-H190)/H190)</f>
        <v>-1</v>
      </c>
      <c r="M190" s="28">
        <f>SUM(M187)</f>
        <v>0</v>
      </c>
      <c r="N190" s="28">
        <f>SUM(N187)</f>
        <v>0</v>
      </c>
      <c r="P190" s="139">
        <f>SUM(P187)</f>
        <v>0</v>
      </c>
      <c r="R190" s="28">
        <f>SUM(R187)</f>
        <v>0</v>
      </c>
      <c r="S190" s="28">
        <f>SUM(S187)</f>
        <v>0</v>
      </c>
      <c r="U190" s="28">
        <f>SUM(U187)</f>
        <v>0</v>
      </c>
      <c r="V190" s="28">
        <f>SUM(V187)</f>
        <v>0</v>
      </c>
      <c r="W190" s="28">
        <f>SUM(W187)</f>
        <v>0</v>
      </c>
      <c r="X190" s="123" t="str">
        <f>IF(U190=0," ",(W190-U190)/U190)</f>
        <v xml:space="preserve"> </v>
      </c>
      <c r="Z190" s="28">
        <f>SUM(Z187)</f>
        <v>0</v>
      </c>
      <c r="AA190" s="28">
        <f>SUM(AA187)</f>
        <v>0</v>
      </c>
      <c r="AC190" s="207" t="s">
        <v>641</v>
      </c>
      <c r="AE190" s="28">
        <f>SUM(AE187)</f>
        <v>0</v>
      </c>
      <c r="AF190" s="201">
        <f>SUM(AF187)</f>
        <v>0</v>
      </c>
      <c r="AH190" s="28">
        <v>0</v>
      </c>
      <c r="AI190" s="28">
        <f>SUM(AI187)</f>
        <v>0</v>
      </c>
      <c r="AJ190" s="28">
        <f>SUM(AJ187)</f>
        <v>0</v>
      </c>
      <c r="AK190" s="123" t="str">
        <f>IF(AH190=0," ",(AJ190-AH190)/AH190)</f>
        <v xml:space="preserve"> </v>
      </c>
      <c r="AM190" s="28">
        <f>SUM(AM187)</f>
        <v>0</v>
      </c>
      <c r="AN190" s="28">
        <f>SUM(AN187)</f>
        <v>0</v>
      </c>
      <c r="AP190" s="295" t="s">
        <v>641</v>
      </c>
      <c r="AR190" s="28">
        <f>SUM(AR187:AR189)</f>
        <v>5000</v>
      </c>
      <c r="AS190" s="28">
        <f>SUM(AS187:AS189)</f>
        <v>4999.92</v>
      </c>
      <c r="AU190" s="28">
        <f>SUM(AU187:AU189)</f>
        <v>5000</v>
      </c>
      <c r="AV190" s="28">
        <f>SUM(AV187:AV189)</f>
        <v>0</v>
      </c>
      <c r="AW190" s="28">
        <f>SUM(AW187:AW189)</f>
        <v>5000</v>
      </c>
      <c r="AX190" s="123">
        <f>IF(AU190=0," ",(AW190-AU190)/AU190)</f>
        <v>0</v>
      </c>
      <c r="AZ190" s="28">
        <f>SUM(AZ187:AZ189)</f>
        <v>5000</v>
      </c>
      <c r="BA190" s="28">
        <f>SUM(BA187:BA189)</f>
        <v>5000</v>
      </c>
      <c r="BC190" s="295" t="s">
        <v>641</v>
      </c>
      <c r="BE190" s="28">
        <f>SUM(BE187:BE189)</f>
        <v>5000</v>
      </c>
      <c r="BF190" s="28">
        <f>SUM(BF187:BF189)</f>
        <v>5000</v>
      </c>
      <c r="BG190" s="9"/>
      <c r="BH190" s="28">
        <f>SUM(BH187:BH189)</f>
        <v>5000</v>
      </c>
      <c r="BI190" s="28">
        <f>SUM(BI187:BI189)</f>
        <v>0</v>
      </c>
      <c r="BJ190" s="28">
        <f>SUM(BJ187:BJ189)</f>
        <v>5000</v>
      </c>
      <c r="BK190" s="123">
        <f>IF(BH190=0," ",(BJ190-BH190)/BH190)</f>
        <v>0</v>
      </c>
      <c r="BM190" s="28">
        <f>SUM(BM187:BM189)</f>
        <v>5000</v>
      </c>
      <c r="BN190" s="28">
        <f>SUM(BN187:BN189)</f>
        <v>5000</v>
      </c>
      <c r="BP190" s="295" t="s">
        <v>641</v>
      </c>
      <c r="BR190" s="28">
        <f>SUM(BR187:BR189)</f>
        <v>5000</v>
      </c>
      <c r="BS190" s="28">
        <f>SUM(BS187:BS189)</f>
        <v>2499.96</v>
      </c>
      <c r="BT190" s="9"/>
      <c r="BU190" s="28">
        <f>SUM(BU187:BU189)</f>
        <v>5000</v>
      </c>
      <c r="BV190" s="532">
        <f>SUM(BV187:BV189)</f>
        <v>48</v>
      </c>
      <c r="BW190" s="591">
        <f>SUM(BW187:BW189)</f>
        <v>5048</v>
      </c>
      <c r="BX190" s="579">
        <f>IF(BU190=0," ",(BW190-BU190)/BU190)</f>
        <v>9.5999999999999992E-3</v>
      </c>
      <c r="BY190" s="580"/>
      <c r="BZ190" s="591">
        <f>SUM(BZ187:BZ189)</f>
        <v>5048</v>
      </c>
      <c r="CA190" s="591">
        <f>SUM(CA187:CA189)</f>
        <v>5048</v>
      </c>
      <c r="CB190" s="580"/>
      <c r="CC190" s="771" t="s">
        <v>641</v>
      </c>
      <c r="CD190" s="580"/>
      <c r="CE190" s="591">
        <f>SUM(CE187:CE189)</f>
        <v>5048</v>
      </c>
      <c r="CF190" s="591">
        <f>SUM(CF187:CF189)</f>
        <v>0</v>
      </c>
      <c r="CG190" s="9"/>
      <c r="CH190" s="815"/>
      <c r="CI190" s="815"/>
      <c r="CJ190" s="886"/>
      <c r="CK190" s="1"/>
      <c r="CO190" s="16"/>
    </row>
    <row r="191" spans="1:93" x14ac:dyDescent="0.3">
      <c r="H191" s="26"/>
      <c r="AP191" s="294"/>
      <c r="AS191" s="16"/>
      <c r="BC191" s="294"/>
      <c r="BP191" s="294"/>
      <c r="CC191" s="772"/>
      <c r="CJ191" s="886"/>
      <c r="CK191" s="1"/>
      <c r="CO191" s="16"/>
    </row>
    <row r="192" spans="1:93" x14ac:dyDescent="0.3">
      <c r="A192" s="11">
        <v>157</v>
      </c>
      <c r="B192" s="3" t="s">
        <v>2</v>
      </c>
      <c r="C192" s="37">
        <v>15705</v>
      </c>
      <c r="D192" s="37">
        <v>52510</v>
      </c>
      <c r="E192" s="49" t="s">
        <v>118</v>
      </c>
      <c r="F192" s="3" t="s">
        <v>2</v>
      </c>
      <c r="G192" s="3" t="s">
        <v>1145</v>
      </c>
      <c r="H192" s="26">
        <v>170</v>
      </c>
      <c r="I192" s="244">
        <v>-170</v>
      </c>
      <c r="J192" s="16">
        <f>H192+I192</f>
        <v>0</v>
      </c>
      <c r="K192" s="122">
        <f>IF(H192=0," ",(J192-H192)/H192)</f>
        <v>-1</v>
      </c>
      <c r="M192" s="117">
        <v>0</v>
      </c>
      <c r="N192" s="117">
        <v>0</v>
      </c>
      <c r="P192" s="259" t="s">
        <v>557</v>
      </c>
      <c r="R192" s="26">
        <v>0</v>
      </c>
      <c r="S192" s="26">
        <v>0</v>
      </c>
      <c r="U192" s="26">
        <v>0</v>
      </c>
      <c r="V192" s="244">
        <v>0</v>
      </c>
      <c r="W192" s="16">
        <f>U192+V192</f>
        <v>0</v>
      </c>
      <c r="X192" s="122" t="str">
        <f>IF(U192=0," ",(W192-U192)/U192)</f>
        <v xml:space="preserve"> </v>
      </c>
      <c r="Z192" s="117">
        <v>0</v>
      </c>
      <c r="AA192" s="117"/>
      <c r="AC192" s="259"/>
      <c r="AE192" s="26"/>
      <c r="AF192" s="200"/>
      <c r="AH192" s="26"/>
      <c r="AI192" s="244"/>
      <c r="AJ192" s="16">
        <f>AH192+AI192</f>
        <v>0</v>
      </c>
      <c r="AK192" s="122" t="str">
        <f>IF(AH192=0," ",(AJ192-AH192)/AH192)</f>
        <v xml:space="preserve"> </v>
      </c>
      <c r="AM192" s="117">
        <v>0</v>
      </c>
      <c r="AN192" s="117">
        <v>0</v>
      </c>
      <c r="AP192" s="259"/>
      <c r="AR192" s="26">
        <v>0</v>
      </c>
      <c r="AS192" s="26"/>
      <c r="AU192" s="26">
        <f>AR192</f>
        <v>0</v>
      </c>
      <c r="AV192" s="244"/>
      <c r="AW192" s="16">
        <f>AU192+AV192</f>
        <v>0</v>
      </c>
      <c r="AX192" s="122" t="str">
        <f>IF(AU192=0," ",(AW192-AU192)/AU192)</f>
        <v xml:space="preserve"> </v>
      </c>
      <c r="AZ192" s="117"/>
      <c r="BA192" s="117"/>
      <c r="BC192" s="259"/>
      <c r="BE192" s="26"/>
      <c r="BF192" s="26">
        <v>3195</v>
      </c>
      <c r="BH192" s="26"/>
      <c r="BI192" s="403">
        <v>3500</v>
      </c>
      <c r="BJ192" s="16">
        <f t="shared" ref="BJ192:BJ197" si="99">BH192+BI192</f>
        <v>3500</v>
      </c>
      <c r="BK192" s="122" t="str">
        <f>IF(BH192=0," ",(BJ192-BH192)/BH192)</f>
        <v xml:space="preserve"> </v>
      </c>
      <c r="BM192" s="117">
        <v>3500</v>
      </c>
      <c r="BN192" s="117">
        <v>3500</v>
      </c>
      <c r="BP192" s="399" t="s">
        <v>1120</v>
      </c>
      <c r="BR192" s="117">
        <v>3500</v>
      </c>
      <c r="BS192" s="26">
        <v>0</v>
      </c>
      <c r="BU192" s="26">
        <v>3500</v>
      </c>
      <c r="BV192" s="244"/>
      <c r="BW192" s="576">
        <f t="shared" ref="BW192:BW197" si="100">BU192+BV192</f>
        <v>3500</v>
      </c>
      <c r="BX192" s="577">
        <f>IF(BU192=0," ",(BW192-BU192)/BU192)</f>
        <v>0</v>
      </c>
      <c r="BZ192" s="166">
        <v>3500</v>
      </c>
      <c r="CA192" s="166">
        <v>3500</v>
      </c>
      <c r="CC192" s="754"/>
      <c r="CE192" s="166">
        <v>3500</v>
      </c>
      <c r="CF192" s="166"/>
      <c r="CJ192" s="886"/>
      <c r="CK192" s="1"/>
      <c r="CO192" s="16"/>
    </row>
    <row r="193" spans="1:93" x14ac:dyDescent="0.3">
      <c r="A193" s="11">
        <v>157</v>
      </c>
      <c r="C193" s="37">
        <v>15705</v>
      </c>
      <c r="D193" s="37">
        <v>53030</v>
      </c>
      <c r="E193" s="49" t="s">
        <v>118</v>
      </c>
      <c r="G193" s="3" t="s">
        <v>1167</v>
      </c>
      <c r="H193" s="26"/>
      <c r="I193" s="244"/>
      <c r="M193" s="117"/>
      <c r="N193" s="117"/>
      <c r="P193" s="259"/>
      <c r="R193" s="26"/>
      <c r="S193" s="26">
        <v>5197.5</v>
      </c>
      <c r="U193" s="26"/>
      <c r="V193" s="244"/>
      <c r="Z193" s="117"/>
      <c r="AA193" s="117"/>
      <c r="AC193" s="259"/>
      <c r="AE193" s="26"/>
      <c r="AF193" s="200"/>
      <c r="AH193" s="26"/>
      <c r="AI193" s="244"/>
      <c r="AJ193" s="16">
        <v>0</v>
      </c>
      <c r="AM193" s="117">
        <v>1000</v>
      </c>
      <c r="AN193" s="117">
        <v>1000</v>
      </c>
      <c r="AP193" s="289" t="s">
        <v>823</v>
      </c>
      <c r="AR193" s="26">
        <v>1000</v>
      </c>
      <c r="AS193" s="26"/>
      <c r="AU193" s="26">
        <f>AR193</f>
        <v>1000</v>
      </c>
      <c r="AV193" s="244"/>
      <c r="AW193" s="16">
        <f>AU193+AV193</f>
        <v>1000</v>
      </c>
      <c r="AZ193" s="117">
        <v>1000</v>
      </c>
      <c r="BA193" s="117">
        <v>1000</v>
      </c>
      <c r="BC193" s="289"/>
      <c r="BE193" s="26">
        <v>1000</v>
      </c>
      <c r="BF193" s="26"/>
      <c r="BH193" s="26">
        <v>1000</v>
      </c>
      <c r="BI193" s="403">
        <v>-1000</v>
      </c>
      <c r="BJ193" s="16">
        <f t="shared" si="99"/>
        <v>0</v>
      </c>
      <c r="BM193" s="117">
        <v>0</v>
      </c>
      <c r="BN193" s="117">
        <v>0</v>
      </c>
      <c r="BP193" s="399" t="s">
        <v>1120</v>
      </c>
      <c r="BR193" s="117">
        <v>0</v>
      </c>
      <c r="BS193" s="26"/>
      <c r="BU193" s="26">
        <v>0</v>
      </c>
      <c r="BV193" s="244"/>
      <c r="BW193" s="576">
        <f t="shared" si="100"/>
        <v>0</v>
      </c>
      <c r="BZ193" s="166">
        <v>0</v>
      </c>
      <c r="CA193" s="166">
        <v>0</v>
      </c>
      <c r="CC193" s="754"/>
      <c r="CE193" s="166">
        <v>0</v>
      </c>
      <c r="CF193" s="166"/>
      <c r="CJ193" s="886"/>
      <c r="CK193" s="1"/>
      <c r="CO193" s="16"/>
    </row>
    <row r="194" spans="1:93" x14ac:dyDescent="0.3">
      <c r="A194" s="11">
        <v>157</v>
      </c>
      <c r="B194" s="3" t="s">
        <v>2</v>
      </c>
      <c r="C194" s="37">
        <v>15705</v>
      </c>
      <c r="D194" s="37">
        <v>53042</v>
      </c>
      <c r="E194" s="49" t="s">
        <v>118</v>
      </c>
      <c r="F194" s="3" t="s">
        <v>2</v>
      </c>
      <c r="G194" s="3" t="s">
        <v>678</v>
      </c>
      <c r="H194" s="26">
        <v>130</v>
      </c>
      <c r="I194" s="244">
        <v>-130</v>
      </c>
      <c r="J194" s="16">
        <f>H194+I194</f>
        <v>0</v>
      </c>
      <c r="K194" s="122">
        <f>IF(H194=0," ",(J194-H194)/H194)</f>
        <v>-1</v>
      </c>
      <c r="M194" s="117">
        <v>0</v>
      </c>
      <c r="N194" s="117">
        <v>0</v>
      </c>
      <c r="P194" s="259" t="s">
        <v>557</v>
      </c>
      <c r="R194" s="26">
        <v>0</v>
      </c>
      <c r="S194" s="26">
        <v>0</v>
      </c>
      <c r="U194" s="26">
        <v>0</v>
      </c>
      <c r="V194" s="244">
        <v>0</v>
      </c>
      <c r="W194" s="16">
        <f>U194+V194</f>
        <v>0</v>
      </c>
      <c r="X194" s="122" t="str">
        <f>IF(U194=0," ",(W194-U194)/U194)</f>
        <v xml:space="preserve"> </v>
      </c>
      <c r="Z194" s="117">
        <v>0</v>
      </c>
      <c r="AA194" s="117"/>
      <c r="AC194" s="259"/>
      <c r="AE194" s="26"/>
      <c r="AF194" s="200"/>
      <c r="AH194" s="26"/>
      <c r="AI194" s="244"/>
      <c r="AJ194" s="16">
        <f>AH194+AI194</f>
        <v>0</v>
      </c>
      <c r="AK194" s="122" t="str">
        <f>IF(AH194=0," ",(AJ194-AH194)/AH194)</f>
        <v xml:space="preserve"> </v>
      </c>
      <c r="AM194" s="117">
        <v>0</v>
      </c>
      <c r="AN194" s="117">
        <v>0</v>
      </c>
      <c r="AP194" s="259"/>
      <c r="AR194" s="26">
        <v>0</v>
      </c>
      <c r="AS194" s="26"/>
      <c r="AU194" s="26">
        <f>AR194</f>
        <v>0</v>
      </c>
      <c r="AV194" s="244"/>
      <c r="AW194" s="16">
        <f>AU194+AV194</f>
        <v>0</v>
      </c>
      <c r="AX194" s="122" t="str">
        <f>IF(AU194=0," ",(AW194-AU194)/AU194)</f>
        <v xml:space="preserve"> </v>
      </c>
      <c r="AZ194" s="117"/>
      <c r="BA194" s="117"/>
      <c r="BC194" s="259"/>
      <c r="BE194" s="26"/>
      <c r="BF194" s="26"/>
      <c r="BH194" s="26"/>
      <c r="BI194" s="244"/>
      <c r="BJ194" s="16">
        <f t="shared" si="99"/>
        <v>0</v>
      </c>
      <c r="BK194" s="122" t="str">
        <f>IF(BH194=0," ",(BJ194-BH194)/BH194)</f>
        <v xml:space="preserve"> </v>
      </c>
      <c r="BM194" s="117">
        <v>0</v>
      </c>
      <c r="BN194" s="117">
        <v>0</v>
      </c>
      <c r="BP194" s="259"/>
      <c r="BR194" s="117">
        <v>0</v>
      </c>
      <c r="BS194" s="26"/>
      <c r="BU194" s="26">
        <v>0</v>
      </c>
      <c r="BV194" s="244"/>
      <c r="BW194" s="576">
        <f t="shared" si="100"/>
        <v>0</v>
      </c>
      <c r="BX194" s="577" t="str">
        <f>IF(BU194=0," ",(BW194-BU194)/BU194)</f>
        <v xml:space="preserve"> </v>
      </c>
      <c r="BZ194" s="166">
        <v>0</v>
      </c>
      <c r="CA194" s="166">
        <v>0</v>
      </c>
      <c r="CC194" s="754"/>
      <c r="CE194" s="166">
        <v>0</v>
      </c>
      <c r="CF194" s="166"/>
      <c r="CJ194" s="886"/>
      <c r="CK194" s="1"/>
      <c r="CO194" s="16"/>
    </row>
    <row r="195" spans="1:93" x14ac:dyDescent="0.3">
      <c r="A195" s="11">
        <v>157</v>
      </c>
      <c r="C195" s="37">
        <v>15705</v>
      </c>
      <c r="D195" s="37">
        <v>53050</v>
      </c>
      <c r="E195" s="49" t="s">
        <v>118</v>
      </c>
      <c r="G195" s="287" t="s">
        <v>888</v>
      </c>
      <c r="H195" s="26">
        <v>0</v>
      </c>
      <c r="I195" s="244">
        <v>33000</v>
      </c>
      <c r="J195" s="16">
        <f>H195+I195</f>
        <v>33000</v>
      </c>
      <c r="M195" s="117">
        <v>34500</v>
      </c>
      <c r="N195" s="117">
        <v>34500</v>
      </c>
      <c r="P195" s="259" t="s">
        <v>556</v>
      </c>
      <c r="R195" s="26">
        <v>34500</v>
      </c>
      <c r="S195" s="26">
        <v>36426</v>
      </c>
      <c r="U195" s="26">
        <v>34500</v>
      </c>
      <c r="V195" s="244">
        <v>0</v>
      </c>
      <c r="W195" s="16">
        <f>U195+V195</f>
        <v>34500</v>
      </c>
      <c r="Z195" s="117">
        <v>34500</v>
      </c>
      <c r="AA195" s="117">
        <v>36500</v>
      </c>
      <c r="AC195" s="259" t="s">
        <v>737</v>
      </c>
      <c r="AE195" s="26">
        <v>36500</v>
      </c>
      <c r="AF195" s="200">
        <v>37000</v>
      </c>
      <c r="AH195" s="26">
        <v>36500</v>
      </c>
      <c r="AI195" s="244"/>
      <c r="AJ195" s="16">
        <f>AH195+AI195</f>
        <v>36500</v>
      </c>
      <c r="AM195" s="117">
        <f>36500+6000</f>
        <v>42500</v>
      </c>
      <c r="AN195" s="117">
        <f>36500+6000</f>
        <v>42500</v>
      </c>
      <c r="AO195" s="178"/>
      <c r="AP195" s="289" t="s">
        <v>889</v>
      </c>
      <c r="AR195" s="26">
        <f>36500+6000</f>
        <v>42500</v>
      </c>
      <c r="AS195" s="26">
        <v>39241</v>
      </c>
      <c r="AU195" s="26">
        <f>AR195</f>
        <v>42500</v>
      </c>
      <c r="AV195" s="244"/>
      <c r="AW195" s="16">
        <f>AU195+AV195</f>
        <v>42500</v>
      </c>
      <c r="AZ195" s="117">
        <v>42500</v>
      </c>
      <c r="BA195" s="117">
        <v>42500</v>
      </c>
      <c r="BB195" s="178"/>
      <c r="BC195" s="289"/>
      <c r="BE195" s="26">
        <v>42500</v>
      </c>
      <c r="BF195" s="26">
        <v>41469.699999999997</v>
      </c>
      <c r="BH195" s="26">
        <v>42500</v>
      </c>
      <c r="BI195" s="403">
        <v>-2500</v>
      </c>
      <c r="BJ195" s="16">
        <f t="shared" si="99"/>
        <v>40000</v>
      </c>
      <c r="BM195" s="117">
        <v>40000</v>
      </c>
      <c r="BN195" s="117">
        <v>40000</v>
      </c>
      <c r="BO195" s="178"/>
      <c r="BP195" s="399" t="s">
        <v>1120</v>
      </c>
      <c r="BR195" s="117">
        <v>40000</v>
      </c>
      <c r="BS195" s="26"/>
      <c r="BU195" s="26">
        <v>40000</v>
      </c>
      <c r="BV195" s="244"/>
      <c r="BW195" s="576">
        <f t="shared" si="100"/>
        <v>40000</v>
      </c>
      <c r="BZ195" s="166">
        <v>40000</v>
      </c>
      <c r="CA195" s="166">
        <v>40000</v>
      </c>
      <c r="CC195" s="754"/>
      <c r="CE195" s="166">
        <v>40000</v>
      </c>
      <c r="CF195" s="166"/>
      <c r="CJ195" s="886"/>
      <c r="CK195" s="1"/>
      <c r="CO195" s="16"/>
    </row>
    <row r="196" spans="1:93" x14ac:dyDescent="0.3">
      <c r="A196" s="11">
        <v>157</v>
      </c>
      <c r="C196" s="37">
        <v>15705</v>
      </c>
      <c r="D196" s="37">
        <v>53052</v>
      </c>
      <c r="E196" s="49" t="s">
        <v>118</v>
      </c>
      <c r="G196" s="3" t="s">
        <v>1168</v>
      </c>
      <c r="H196" s="26"/>
      <c r="I196" s="244"/>
      <c r="AP196" s="294"/>
      <c r="AS196" s="16"/>
      <c r="BC196" s="294"/>
      <c r="BI196" s="244">
        <v>3250</v>
      </c>
      <c r="BJ196" s="16">
        <f t="shared" si="99"/>
        <v>3250</v>
      </c>
      <c r="BM196" s="117">
        <v>3250</v>
      </c>
      <c r="BN196" s="117">
        <v>3250</v>
      </c>
      <c r="BP196" s="259" t="s">
        <v>1122</v>
      </c>
      <c r="BR196" s="117">
        <v>3250</v>
      </c>
      <c r="BS196" s="26">
        <v>3341.84</v>
      </c>
      <c r="BU196" s="26">
        <v>3250</v>
      </c>
      <c r="BV196" s="244"/>
      <c r="BW196" s="576">
        <f t="shared" si="100"/>
        <v>3250</v>
      </c>
      <c r="BZ196" s="166">
        <v>3250</v>
      </c>
      <c r="CA196" s="166">
        <v>3250</v>
      </c>
      <c r="CC196" s="754"/>
      <c r="CE196" s="166">
        <v>3250</v>
      </c>
      <c r="CF196" s="166"/>
      <c r="CJ196" s="886"/>
      <c r="CK196" s="1"/>
      <c r="CO196" s="16"/>
    </row>
    <row r="197" spans="1:93" x14ac:dyDescent="0.3">
      <c r="A197" s="11">
        <v>157</v>
      </c>
      <c r="B197" s="3" t="s">
        <v>2</v>
      </c>
      <c r="C197" s="37">
        <v>15705</v>
      </c>
      <c r="D197" s="37">
        <v>57000</v>
      </c>
      <c r="E197" s="49" t="s">
        <v>118</v>
      </c>
      <c r="F197" s="3" t="s">
        <v>2</v>
      </c>
      <c r="G197" s="3" t="s">
        <v>555</v>
      </c>
      <c r="H197" s="26">
        <v>963</v>
      </c>
      <c r="I197" s="244"/>
      <c r="J197" s="16">
        <f t="shared" ref="J197" si="101">H197+I197</f>
        <v>963</v>
      </c>
      <c r="K197" s="122">
        <f t="shared" ref="K197:K198" si="102">IF(H197=0," ",(J197-H197)/H197)</f>
        <v>0</v>
      </c>
      <c r="M197" s="117">
        <v>500</v>
      </c>
      <c r="N197" s="117">
        <v>500</v>
      </c>
      <c r="P197" s="259"/>
      <c r="R197" s="26">
        <v>500</v>
      </c>
      <c r="S197" s="26">
        <v>469.69</v>
      </c>
      <c r="U197" s="26">
        <v>500</v>
      </c>
      <c r="V197" s="244">
        <v>0</v>
      </c>
      <c r="W197" s="16">
        <f t="shared" ref="W197" si="103">U197+V197</f>
        <v>500</v>
      </c>
      <c r="X197" s="122">
        <f>IF(U197=0," ",(W197-U197)/U197)</f>
        <v>0</v>
      </c>
      <c r="Z197" s="117">
        <v>500</v>
      </c>
      <c r="AA197" s="117">
        <v>500</v>
      </c>
      <c r="AC197" s="259" t="s">
        <v>738</v>
      </c>
      <c r="AE197" s="26">
        <v>500</v>
      </c>
      <c r="AF197" s="200">
        <v>400</v>
      </c>
      <c r="AH197" s="26">
        <v>500</v>
      </c>
      <c r="AI197" s="244"/>
      <c r="AJ197" s="16">
        <f>AH197+AI197</f>
        <v>500</v>
      </c>
      <c r="AK197" s="122">
        <f>IF(AH197=0," ",(AJ197-AH197)/AH197)</f>
        <v>0</v>
      </c>
      <c r="AM197" s="117">
        <v>500</v>
      </c>
      <c r="AN197" s="117">
        <v>500</v>
      </c>
      <c r="AP197" s="259"/>
      <c r="AR197" s="26">
        <v>500</v>
      </c>
      <c r="AS197" s="26">
        <v>400</v>
      </c>
      <c r="AU197" s="26">
        <f>AR197</f>
        <v>500</v>
      </c>
      <c r="AV197" s="244"/>
      <c r="AW197" s="16">
        <f t="shared" ref="AW197" si="104">AU197+AV197</f>
        <v>500</v>
      </c>
      <c r="AX197" s="122">
        <f>IF(AU197=0," ",(AW197-AU197)/AU197)</f>
        <v>0</v>
      </c>
      <c r="AZ197" s="117">
        <v>500</v>
      </c>
      <c r="BA197" s="117">
        <v>500</v>
      </c>
      <c r="BC197" s="259"/>
      <c r="BE197" s="26">
        <v>500</v>
      </c>
      <c r="BF197" s="26">
        <v>400</v>
      </c>
      <c r="BH197" s="26">
        <v>500</v>
      </c>
      <c r="BI197" s="244">
        <v>2600</v>
      </c>
      <c r="BJ197" s="16">
        <f t="shared" si="99"/>
        <v>3100</v>
      </c>
      <c r="BK197" s="122">
        <f>IF(BH197=0," ",(BJ197-BH197)/BH197)</f>
        <v>5.2</v>
      </c>
      <c r="BM197" s="117">
        <v>3100</v>
      </c>
      <c r="BN197" s="117">
        <v>3100</v>
      </c>
      <c r="BP197" s="259" t="s">
        <v>1144</v>
      </c>
      <c r="BR197" s="117">
        <v>3100</v>
      </c>
      <c r="BS197" s="26"/>
      <c r="BU197" s="26">
        <v>3100</v>
      </c>
      <c r="BV197" s="244"/>
      <c r="BW197" s="576">
        <f t="shared" si="100"/>
        <v>3100</v>
      </c>
      <c r="BX197" s="577">
        <f>IF(BU197=0," ",(BW197-BU197)/BU197)</f>
        <v>0</v>
      </c>
      <c r="BZ197" s="166">
        <v>3100</v>
      </c>
      <c r="CA197" s="166">
        <v>3100</v>
      </c>
      <c r="CC197" s="754"/>
      <c r="CE197" s="166">
        <v>3100</v>
      </c>
      <c r="CF197" s="166"/>
      <c r="CJ197" s="886"/>
      <c r="CK197" s="1"/>
      <c r="CO197" s="16"/>
    </row>
    <row r="198" spans="1:93" s="19" customFormat="1" x14ac:dyDescent="0.3">
      <c r="A198" s="27"/>
      <c r="B198" s="8"/>
      <c r="C198" s="42"/>
      <c r="D198" s="42"/>
      <c r="E198" s="54"/>
      <c r="F198" s="8"/>
      <c r="G198" s="56" t="s">
        <v>593</v>
      </c>
      <c r="H198" s="28">
        <f>SUM(H193:H197)</f>
        <v>1093</v>
      </c>
      <c r="I198" s="28">
        <f>SUM(I193:I197)</f>
        <v>32870</v>
      </c>
      <c r="J198" s="28">
        <f>SUM(J193:J197)</f>
        <v>33963</v>
      </c>
      <c r="K198" s="123">
        <f t="shared" si="102"/>
        <v>30.073193046660567</v>
      </c>
      <c r="M198" s="28">
        <f>SUM(M193:M197)</f>
        <v>35000</v>
      </c>
      <c r="N198" s="28">
        <f>SUM(N193:N197)</f>
        <v>35000</v>
      </c>
      <c r="P198" s="139">
        <f>SUM(P193:P197)</f>
        <v>0</v>
      </c>
      <c r="R198" s="28">
        <f>SUM(R193:R197)</f>
        <v>35000</v>
      </c>
      <c r="S198" s="28">
        <f>SUM(S192:S197)</f>
        <v>42093.19</v>
      </c>
      <c r="U198" s="28">
        <f>SUM(U193:U197)</f>
        <v>35000</v>
      </c>
      <c r="V198" s="28">
        <f>SUM(V193:V197)</f>
        <v>0</v>
      </c>
      <c r="W198" s="28">
        <f>SUM(W193:W197)</f>
        <v>35000</v>
      </c>
      <c r="X198" s="123">
        <f>IF(U198=0," ",(W198-U198)/U198)</f>
        <v>0</v>
      </c>
      <c r="Z198" s="28">
        <f>SUM(Z193:Z197)</f>
        <v>35000</v>
      </c>
      <c r="AA198" s="28">
        <f>SUM(AA193:AA197)</f>
        <v>37000</v>
      </c>
      <c r="AC198" s="139"/>
      <c r="AE198" s="28">
        <f>SUM(AE193:AE197)</f>
        <v>37000</v>
      </c>
      <c r="AF198" s="28">
        <f>SUM(AF192:AF197)</f>
        <v>37400</v>
      </c>
      <c r="AH198" s="28">
        <f>SUM(AH193:AH197)</f>
        <v>37000</v>
      </c>
      <c r="AI198" s="28">
        <f>SUM(AI193:AI197)</f>
        <v>0</v>
      </c>
      <c r="AJ198" s="28">
        <f>SUM(AJ193:AJ197)</f>
        <v>37000</v>
      </c>
      <c r="AK198" s="123">
        <f>IF(AH198=0," ",(AJ198-AH198)/AH198)</f>
        <v>0</v>
      </c>
      <c r="AM198" s="28">
        <f>SUM(AM193:AM197)</f>
        <v>44000</v>
      </c>
      <c r="AN198" s="28">
        <f>SUM(AN193:AN197)</f>
        <v>44000</v>
      </c>
      <c r="AP198" s="139"/>
      <c r="AR198" s="28">
        <f>SUM(AR193:AR197)</f>
        <v>44000</v>
      </c>
      <c r="AS198" s="28">
        <f>SUM(AS192:AS197)</f>
        <v>39641</v>
      </c>
      <c r="AU198" s="28">
        <f>SUM(AU193:AU197)</f>
        <v>44000</v>
      </c>
      <c r="AV198" s="28">
        <f>SUM(AV193:AV197)</f>
        <v>0</v>
      </c>
      <c r="AW198" s="28">
        <f>SUM(AW193:AW197)</f>
        <v>44000</v>
      </c>
      <c r="AX198" s="123">
        <f>IF(AU198=0," ",(AW198-AU198)/AU198)</f>
        <v>0</v>
      </c>
      <c r="AZ198" s="28">
        <f>SUM(AZ193:AZ197)</f>
        <v>44000</v>
      </c>
      <c r="BA198" s="28">
        <f>SUM(BA193:BA197)</f>
        <v>44000</v>
      </c>
      <c r="BC198" s="139"/>
      <c r="BE198" s="28">
        <f>SUM(BE192:BE197)</f>
        <v>44000</v>
      </c>
      <c r="BF198" s="28">
        <f>SUM(BF192:BF197)</f>
        <v>45064.7</v>
      </c>
      <c r="BG198" s="9"/>
      <c r="BH198" s="28">
        <f>SUM(BH192:BH197)</f>
        <v>44000</v>
      </c>
      <c r="BI198" s="28">
        <f>SUM(BI192:BI197)</f>
        <v>5850</v>
      </c>
      <c r="BJ198" s="28">
        <f>SUM(BJ192:BJ197)</f>
        <v>49850</v>
      </c>
      <c r="BK198" s="123">
        <f>IF(BH198=0," ",(BJ198-BH198)/BH198)</f>
        <v>0.13295454545454546</v>
      </c>
      <c r="BM198" s="28">
        <f>SUM(BM192:BM197)</f>
        <v>49850</v>
      </c>
      <c r="BN198" s="28">
        <f>SUM(BN192:BN197)</f>
        <v>49850</v>
      </c>
      <c r="BP198" s="139"/>
      <c r="BR198" s="28">
        <f>SUM(BR192:BR197)</f>
        <v>49850</v>
      </c>
      <c r="BS198" s="28">
        <f>SUM(BS192:BS197)</f>
        <v>3341.84</v>
      </c>
      <c r="BT198" s="9"/>
      <c r="BU198" s="28">
        <f>SUM(BU192:BU197)</f>
        <v>49850</v>
      </c>
      <c r="BV198" s="532">
        <f>SUM(BV192:BV197)</f>
        <v>0</v>
      </c>
      <c r="BW198" s="591">
        <f>SUM(BW192:BW197)</f>
        <v>49850</v>
      </c>
      <c r="BX198" s="579">
        <f>IF(BU198=0," ",(BW198-BU198)/BU198)</f>
        <v>0</v>
      </c>
      <c r="BY198" s="580"/>
      <c r="BZ198" s="591">
        <f>SUM(BZ192:BZ197)</f>
        <v>49850</v>
      </c>
      <c r="CA198" s="591">
        <f>SUM(CA192:CA197)</f>
        <v>49850</v>
      </c>
      <c r="CB198" s="580"/>
      <c r="CC198" s="771" t="s">
        <v>641</v>
      </c>
      <c r="CD198" s="580"/>
      <c r="CE198" s="591">
        <f>SUM(CE192:CE197)</f>
        <v>49850</v>
      </c>
      <c r="CF198" s="591">
        <f>SUM(CF192:CF197)</f>
        <v>0</v>
      </c>
      <c r="CG198" s="9"/>
      <c r="CH198" s="815"/>
      <c r="CI198" s="815"/>
      <c r="CJ198" s="886"/>
      <c r="CK198" s="1"/>
      <c r="CO198" s="16"/>
    </row>
    <row r="199" spans="1:93" ht="9.9" customHeight="1" x14ac:dyDescent="0.3">
      <c r="AS199" s="16"/>
      <c r="CJ199" s="886"/>
      <c r="CK199" s="1"/>
      <c r="CO199" s="16"/>
    </row>
    <row r="200" spans="1:93" s="1" customFormat="1" x14ac:dyDescent="0.3">
      <c r="A200" s="20"/>
      <c r="B200" s="5"/>
      <c r="C200" s="39"/>
      <c r="D200" s="39"/>
      <c r="E200" s="51"/>
      <c r="F200" s="5"/>
      <c r="G200" s="21" t="s">
        <v>594</v>
      </c>
      <c r="H200" s="22">
        <f>H190+H198</f>
        <v>2951</v>
      </c>
      <c r="I200" s="22">
        <f>I190+I198</f>
        <v>31012</v>
      </c>
      <c r="J200" s="22">
        <f>J190+J198</f>
        <v>33963</v>
      </c>
      <c r="K200" s="124">
        <f>IF(H200=0," ",(J200-H200)/H200)</f>
        <v>10.508980006777364</v>
      </c>
      <c r="M200" s="22">
        <f>M190+M198</f>
        <v>35000</v>
      </c>
      <c r="N200" s="22">
        <f>N190+N198</f>
        <v>35000</v>
      </c>
      <c r="P200" s="136">
        <f>P190+P198</f>
        <v>0</v>
      </c>
      <c r="R200" s="22">
        <f>R190+R198</f>
        <v>35000</v>
      </c>
      <c r="S200" s="22">
        <f>S190+S198</f>
        <v>42093.19</v>
      </c>
      <c r="U200" s="22">
        <f>U190+U198</f>
        <v>35000</v>
      </c>
      <c r="V200" s="22">
        <f>V190+V198</f>
        <v>0</v>
      </c>
      <c r="W200" s="22">
        <f>W190+W198</f>
        <v>35000</v>
      </c>
      <c r="X200" s="124">
        <f>IF(U200=0," ",(W200-U200)/U200)</f>
        <v>0</v>
      </c>
      <c r="Z200" s="22">
        <f>Z190+Z198</f>
        <v>35000</v>
      </c>
      <c r="AA200" s="22">
        <f>AA190+AA198</f>
        <v>37000</v>
      </c>
      <c r="AC200" s="136"/>
      <c r="AE200" s="22">
        <f>AE190+AE198</f>
        <v>37000</v>
      </c>
      <c r="AF200" s="199">
        <f>AF190+AF198</f>
        <v>37400</v>
      </c>
      <c r="AH200" s="22">
        <v>37000</v>
      </c>
      <c r="AI200" s="22">
        <f>AI190+AI198</f>
        <v>0</v>
      </c>
      <c r="AJ200" s="22">
        <f>AJ190+AJ198</f>
        <v>37000</v>
      </c>
      <c r="AK200" s="124">
        <f>IF(AH200=0," ",(AJ200-AH200)/AH200)</f>
        <v>0</v>
      </c>
      <c r="AM200" s="22">
        <f>AM190+AM198</f>
        <v>44000</v>
      </c>
      <c r="AN200" s="22">
        <f>AN190+AN198</f>
        <v>44000</v>
      </c>
      <c r="AP200" s="136"/>
      <c r="AR200" s="22">
        <f>AR190+AR198</f>
        <v>49000</v>
      </c>
      <c r="AS200" s="22">
        <f>AS190+AS198</f>
        <v>44640.92</v>
      </c>
      <c r="AU200" s="22">
        <f>AU190+AU198</f>
        <v>49000</v>
      </c>
      <c r="AV200" s="22">
        <f>AV190+AV198</f>
        <v>0</v>
      </c>
      <c r="AW200" s="22">
        <f>AW190+AW198</f>
        <v>49000</v>
      </c>
      <c r="AX200" s="124">
        <f>IF(AU200=0," ",(AW200-AU200)/AU200)</f>
        <v>0</v>
      </c>
      <c r="AZ200" s="22">
        <f>AZ190+AZ198</f>
        <v>49000</v>
      </c>
      <c r="BA200" s="22">
        <f>BA190+BA198</f>
        <v>49000</v>
      </c>
      <c r="BC200" s="136"/>
      <c r="BE200" s="22">
        <f>BE190+BE198</f>
        <v>49000</v>
      </c>
      <c r="BF200" s="22">
        <f>BF190+BF198</f>
        <v>50064.7</v>
      </c>
      <c r="BH200" s="22">
        <f>BH190+BH198</f>
        <v>49000</v>
      </c>
      <c r="BI200" s="22">
        <f>BI190+BI198</f>
        <v>5850</v>
      </c>
      <c r="BJ200" s="22">
        <f>BJ190+BJ198</f>
        <v>54850</v>
      </c>
      <c r="BK200" s="124">
        <f>IF(BH200=0," ",(BJ200-BH200)/BH200)</f>
        <v>0.11938775510204082</v>
      </c>
      <c r="BM200" s="22">
        <f>BM190+BM198</f>
        <v>54850</v>
      </c>
      <c r="BN200" s="22">
        <f>BN190+BN198</f>
        <v>54850</v>
      </c>
      <c r="BP200" s="136"/>
      <c r="BR200" s="22">
        <f>BR190+BR198</f>
        <v>54850</v>
      </c>
      <c r="BS200" s="22">
        <f>BS190+BS198</f>
        <v>5841.8</v>
      </c>
      <c r="BU200" s="22">
        <f>BU190+BU198</f>
        <v>54850</v>
      </c>
      <c r="BV200" s="531">
        <f>BV190+BV198</f>
        <v>48</v>
      </c>
      <c r="BW200" s="581">
        <f>BW190+BW198</f>
        <v>54898</v>
      </c>
      <c r="BX200" s="582">
        <f>IF(BU200=0," ",(BW200-BU200)/BU200)</f>
        <v>8.7511394712853235E-4</v>
      </c>
      <c r="BY200" s="573"/>
      <c r="BZ200" s="581">
        <f>BZ190+BZ198</f>
        <v>54898</v>
      </c>
      <c r="CA200" s="581">
        <f>CA190+CA198</f>
        <v>54898</v>
      </c>
      <c r="CB200" s="573"/>
      <c r="CC200" s="773" t="s">
        <v>641</v>
      </c>
      <c r="CD200" s="573"/>
      <c r="CE200" s="581">
        <f>CE190+CE198</f>
        <v>54898</v>
      </c>
      <c r="CF200" s="581">
        <f>CF190+CF198</f>
        <v>0</v>
      </c>
      <c r="CH200" s="812"/>
      <c r="CI200" s="812"/>
      <c r="CJ200" s="886"/>
      <c r="CO200" s="16"/>
    </row>
    <row r="201" spans="1:93" ht="20.100000000000001" customHeight="1" x14ac:dyDescent="0.3">
      <c r="AS201" s="16"/>
      <c r="CJ201" s="886"/>
      <c r="CK201" s="1"/>
      <c r="CO201" s="16"/>
    </row>
    <row r="202" spans="1:93" s="1" customFormat="1" ht="15.6" x14ac:dyDescent="0.3">
      <c r="A202" s="14" t="s">
        <v>156</v>
      </c>
      <c r="B202" s="2"/>
      <c r="C202" s="36"/>
      <c r="D202" s="36"/>
      <c r="E202" s="48"/>
      <c r="F202" s="2"/>
      <c r="G202" s="2"/>
      <c r="H202" s="15"/>
      <c r="I202" s="15"/>
      <c r="J202" s="15"/>
      <c r="K202" s="121"/>
      <c r="M202" s="15"/>
      <c r="N202" s="15"/>
      <c r="P202" s="133"/>
      <c r="R202" s="15"/>
      <c r="S202" s="15"/>
      <c r="U202" s="15"/>
      <c r="V202" s="15"/>
      <c r="W202" s="15"/>
      <c r="X202" s="121"/>
      <c r="Z202" s="15"/>
      <c r="AA202" s="15"/>
      <c r="AC202" s="133"/>
      <c r="AE202" s="15"/>
      <c r="AF202" s="196"/>
      <c r="AH202" s="15"/>
      <c r="AI202" s="15"/>
      <c r="AJ202" s="15"/>
      <c r="AK202" s="121"/>
      <c r="AM202" s="15"/>
      <c r="AN202" s="15"/>
      <c r="AP202" s="133"/>
      <c r="AR202" s="15"/>
      <c r="AS202" s="15"/>
      <c r="AU202" s="15"/>
      <c r="AV202" s="15"/>
      <c r="AW202" s="15"/>
      <c r="AX202" s="121"/>
      <c r="AZ202" s="15"/>
      <c r="BA202" s="15"/>
      <c r="BC202" s="133"/>
      <c r="BE202" s="15"/>
      <c r="BF202" s="15"/>
      <c r="BH202" s="15"/>
      <c r="BI202" s="15"/>
      <c r="BJ202" s="15"/>
      <c r="BK202" s="121"/>
      <c r="BM202" s="15"/>
      <c r="BN202" s="15"/>
      <c r="BP202" s="234"/>
      <c r="BR202" s="15"/>
      <c r="BS202" s="15"/>
      <c r="BU202" s="15"/>
      <c r="BV202" s="529"/>
      <c r="BW202" s="574"/>
      <c r="BX202" s="575"/>
      <c r="BY202" s="573"/>
      <c r="BZ202" s="574"/>
      <c r="CA202" s="574"/>
      <c r="CB202" s="573"/>
      <c r="CC202" s="761"/>
      <c r="CD202" s="573"/>
      <c r="CE202" s="574"/>
      <c r="CF202" s="574"/>
      <c r="CH202" s="812"/>
      <c r="CI202" s="812"/>
      <c r="CJ202" s="886"/>
      <c r="CO202" s="16"/>
    </row>
    <row r="203" spans="1:93" x14ac:dyDescent="0.3">
      <c r="A203" s="11">
        <v>161</v>
      </c>
      <c r="B203" s="3" t="s">
        <v>2</v>
      </c>
      <c r="C203" s="37">
        <v>16101</v>
      </c>
      <c r="D203" s="37">
        <v>51110</v>
      </c>
      <c r="E203" s="49" t="s">
        <v>119</v>
      </c>
      <c r="F203" s="3" t="s">
        <v>2</v>
      </c>
      <c r="G203" s="3" t="s">
        <v>289</v>
      </c>
      <c r="H203" s="26">
        <v>65835</v>
      </c>
      <c r="I203" s="244">
        <v>2909</v>
      </c>
      <c r="J203" s="16">
        <v>68744</v>
      </c>
      <c r="K203" s="122">
        <f>IF(H203=0," ",(J203-H203)/H203)</f>
        <v>4.4186223133591551E-2</v>
      </c>
      <c r="M203" s="117">
        <v>61672</v>
      </c>
      <c r="N203" s="117">
        <v>61672</v>
      </c>
      <c r="P203" s="259" t="s">
        <v>629</v>
      </c>
      <c r="R203" s="26">
        <v>61672</v>
      </c>
      <c r="S203" s="26">
        <v>61925.42</v>
      </c>
      <c r="U203" s="26">
        <v>61672</v>
      </c>
      <c r="V203" s="244">
        <v>2975</v>
      </c>
      <c r="W203" s="16">
        <f>U203+V203</f>
        <v>64647</v>
      </c>
      <c r="X203" s="122">
        <f>IF(U203=0," ",(W203-U203)/U203)</f>
        <v>4.8239071215462448E-2</v>
      </c>
      <c r="Z203" s="117">
        <v>64647</v>
      </c>
      <c r="AA203" s="117">
        <v>64647</v>
      </c>
      <c r="AC203" s="259" t="s">
        <v>657</v>
      </c>
      <c r="AE203" s="26">
        <v>64647</v>
      </c>
      <c r="AF203" s="200">
        <v>69804.800000000003</v>
      </c>
      <c r="AH203" s="26">
        <v>64647</v>
      </c>
      <c r="AI203" s="244">
        <v>9070</v>
      </c>
      <c r="AJ203" s="16">
        <f>AH203+AI203</f>
        <v>73717</v>
      </c>
      <c r="AK203" s="122">
        <f>IF(AH203=0," ",(AJ203-AH203)/AH203)</f>
        <v>0.14030040063730723</v>
      </c>
      <c r="AM203" s="117">
        <v>73717</v>
      </c>
      <c r="AN203" s="117">
        <v>73717</v>
      </c>
      <c r="AP203" s="259" t="s">
        <v>810</v>
      </c>
      <c r="AR203" s="26">
        <v>73717</v>
      </c>
      <c r="AS203" s="26">
        <v>73716.320000000007</v>
      </c>
      <c r="AU203" s="26">
        <f>AR203</f>
        <v>73717</v>
      </c>
      <c r="AV203" s="244">
        <v>3247</v>
      </c>
      <c r="AW203" s="16">
        <f>AU203+AV203</f>
        <v>76964</v>
      </c>
      <c r="AX203" s="122">
        <f>IF(AU203=0," ",(AW203-AU203)/AU203)</f>
        <v>4.4046827733087345E-2</v>
      </c>
      <c r="AZ203" s="117">
        <v>76672</v>
      </c>
      <c r="BA203" s="117">
        <v>75461</v>
      </c>
      <c r="BC203" s="259" t="s">
        <v>969</v>
      </c>
      <c r="BE203" s="26">
        <v>75461</v>
      </c>
      <c r="BF203" s="26">
        <v>75460.320000000007</v>
      </c>
      <c r="BH203" s="26">
        <v>75461</v>
      </c>
      <c r="BI203" s="244">
        <v>1503</v>
      </c>
      <c r="BJ203" s="16">
        <f>BH203+BI203</f>
        <v>76964</v>
      </c>
      <c r="BK203" s="122">
        <f>IF(BH203=0," ",(BJ203-BH203)/BH203)</f>
        <v>1.9917573316017546E-2</v>
      </c>
      <c r="BM203" s="117">
        <v>76964</v>
      </c>
      <c r="BN203" s="117">
        <v>76964</v>
      </c>
      <c r="BP203" s="428" t="s">
        <v>1296</v>
      </c>
      <c r="BR203" s="117">
        <v>76964</v>
      </c>
      <c r="BS203" s="26">
        <v>34500.959999999999</v>
      </c>
      <c r="BU203" s="26">
        <v>76964</v>
      </c>
      <c r="BV203" s="244">
        <v>1545</v>
      </c>
      <c r="BW203" s="576">
        <f>BU203+BV203</f>
        <v>78509</v>
      </c>
      <c r="BX203" s="577">
        <f>IF(BU203=0," ",(BW203-BU203)/BU203)</f>
        <v>2.0074320461514476E-2</v>
      </c>
      <c r="BZ203" s="166">
        <v>78509</v>
      </c>
      <c r="CA203" s="166">
        <v>78509</v>
      </c>
      <c r="CC203" s="765" t="s">
        <v>1378</v>
      </c>
      <c r="CE203" s="166">
        <v>78509</v>
      </c>
      <c r="CF203" s="166"/>
      <c r="CJ203" s="886"/>
      <c r="CK203" s="1"/>
      <c r="CO203" s="16"/>
    </row>
    <row r="204" spans="1:93" x14ac:dyDescent="0.3">
      <c r="H204" s="26"/>
      <c r="I204" s="245"/>
      <c r="M204" s="118"/>
      <c r="N204" s="118"/>
      <c r="P204" s="137"/>
      <c r="R204" s="144"/>
      <c r="S204" s="144"/>
      <c r="U204" s="144"/>
      <c r="V204" s="245"/>
      <c r="W204" s="16">
        <f>U204+V204</f>
        <v>0</v>
      </c>
      <c r="Z204" s="118">
        <v>0</v>
      </c>
      <c r="AA204" s="118">
        <v>0</v>
      </c>
      <c r="AC204" s="137" t="s">
        <v>757</v>
      </c>
      <c r="AE204" s="144">
        <v>0</v>
      </c>
      <c r="AF204" s="271">
        <v>0</v>
      </c>
      <c r="AH204" s="144">
        <v>0</v>
      </c>
      <c r="AI204" s="245"/>
      <c r="AJ204" s="16">
        <f>AH204+AI204</f>
        <v>0</v>
      </c>
      <c r="AM204" s="117">
        <v>0</v>
      </c>
      <c r="AN204" s="117">
        <v>0</v>
      </c>
      <c r="AP204" s="227"/>
      <c r="AR204" s="26">
        <v>0</v>
      </c>
      <c r="AS204" s="26"/>
      <c r="AU204" s="26">
        <f>AR204</f>
        <v>0</v>
      </c>
      <c r="AV204" s="245"/>
      <c r="AW204" s="16">
        <f>AU204+AV204</f>
        <v>0</v>
      </c>
      <c r="AZ204" s="117"/>
      <c r="BA204" s="117"/>
      <c r="BC204" s="227"/>
      <c r="BE204" s="26"/>
      <c r="BF204" s="26"/>
      <c r="BH204" s="26"/>
      <c r="BI204" s="245"/>
      <c r="BJ204" s="16">
        <f>BH204+BI204</f>
        <v>0</v>
      </c>
      <c r="BM204" s="117">
        <v>0</v>
      </c>
      <c r="BN204" s="117">
        <v>0</v>
      </c>
      <c r="BP204" s="137"/>
      <c r="BR204" s="117">
        <v>0</v>
      </c>
      <c r="BS204" s="144"/>
      <c r="BU204" s="26">
        <v>0</v>
      </c>
      <c r="BV204" s="245"/>
      <c r="BW204" s="576">
        <f>BU204+BV204</f>
        <v>0</v>
      </c>
      <c r="BZ204" s="166">
        <v>0</v>
      </c>
      <c r="CA204" s="166">
        <v>0</v>
      </c>
      <c r="CC204" s="767"/>
      <c r="CE204" s="166">
        <v>0</v>
      </c>
      <c r="CF204" s="166"/>
      <c r="CJ204" s="886"/>
      <c r="CK204" s="1"/>
      <c r="CO204" s="16"/>
    </row>
    <row r="205" spans="1:93" x14ac:dyDescent="0.3">
      <c r="A205" s="12"/>
      <c r="H205" s="145">
        <f t="shared" ref="H205" si="105">SUM(H203:H204)</f>
        <v>65835</v>
      </c>
      <c r="I205" s="32">
        <f>SUM(I203:I204)</f>
        <v>2909</v>
      </c>
      <c r="J205" s="32">
        <f>SUM(J203:J204)</f>
        <v>68744</v>
      </c>
      <c r="K205" s="128">
        <f>SUM(K203:K204)</f>
        <v>4.4186223133591551E-2</v>
      </c>
      <c r="M205" s="32">
        <f>SUM(M203:M204)</f>
        <v>61672</v>
      </c>
      <c r="N205" s="32">
        <f>SUM(N203:N204)</f>
        <v>61672</v>
      </c>
      <c r="P205" s="141">
        <f>SUM(P203:P204)</f>
        <v>0</v>
      </c>
      <c r="R205" s="145">
        <f>SUM(R203:R204)</f>
        <v>61672</v>
      </c>
      <c r="S205" s="145">
        <f>SUM(S203:S204)</f>
        <v>61925.42</v>
      </c>
      <c r="U205" s="32">
        <f>SUM(U203:U204)</f>
        <v>61672</v>
      </c>
      <c r="V205" s="32">
        <f>SUM(V203:V204)</f>
        <v>2975</v>
      </c>
      <c r="W205" s="32">
        <f>SUM(W203:W204)</f>
        <v>64647</v>
      </c>
      <c r="X205" s="128">
        <f>SUM(X203:X204)</f>
        <v>4.8239071215462448E-2</v>
      </c>
      <c r="Z205" s="32">
        <f>SUM(Z203:Z204)</f>
        <v>64647</v>
      </c>
      <c r="AA205" s="32">
        <f>SUM(AA203:AA204)</f>
        <v>64647</v>
      </c>
      <c r="AC205" s="141"/>
      <c r="AE205" s="32">
        <f>SUM(AE203:AE204)</f>
        <v>64647</v>
      </c>
      <c r="AF205" s="202">
        <f>SUM(AF203:AF204)</f>
        <v>69804.800000000003</v>
      </c>
      <c r="AH205" s="145">
        <v>64647</v>
      </c>
      <c r="AI205" s="32">
        <f>SUM(AI203:AI204)</f>
        <v>9070</v>
      </c>
      <c r="AJ205" s="32">
        <f>SUM(AJ203:AJ204)</f>
        <v>73717</v>
      </c>
      <c r="AK205" s="128">
        <f>SUM(AK203:AK204)</f>
        <v>0.14030040063730723</v>
      </c>
      <c r="AM205" s="32">
        <f>SUM(AM203:AM204)</f>
        <v>73717</v>
      </c>
      <c r="AN205" s="32">
        <f>SUM(AN203:AN204)</f>
        <v>73717</v>
      </c>
      <c r="AP205" s="141"/>
      <c r="AR205" s="145">
        <f>SUM(AR203:AR204)</f>
        <v>73717</v>
      </c>
      <c r="AS205" s="145">
        <f>SUM(AS203:AS204)</f>
        <v>73716.320000000007</v>
      </c>
      <c r="AU205" s="145">
        <f>SUM(AU203:AU204)</f>
        <v>73717</v>
      </c>
      <c r="AV205" s="32">
        <f>SUM(AV203:AV204)</f>
        <v>3247</v>
      </c>
      <c r="AW205" s="32">
        <f>SUM(AW203:AW204)</f>
        <v>76964</v>
      </c>
      <c r="AX205" s="128">
        <f>SUM(AX203:AX204)</f>
        <v>4.4046827733087345E-2</v>
      </c>
      <c r="AZ205" s="32">
        <f>SUM(AZ203:AZ204)</f>
        <v>76672</v>
      </c>
      <c r="BA205" s="32">
        <f>SUM(BA203:BA204)</f>
        <v>75461</v>
      </c>
      <c r="BC205" s="141"/>
      <c r="BE205" s="145">
        <f>SUM(BE203:BE204)</f>
        <v>75461</v>
      </c>
      <c r="BF205" s="145">
        <f>SUM(BF203:BF204)</f>
        <v>75460.320000000007</v>
      </c>
      <c r="BH205" s="145">
        <f>SUM(BH203:BH204)</f>
        <v>75461</v>
      </c>
      <c r="BI205" s="32">
        <f>SUM(BI203:BI204)</f>
        <v>1503</v>
      </c>
      <c r="BJ205" s="32">
        <f>SUM(BJ203:BJ204)</f>
        <v>76964</v>
      </c>
      <c r="BK205" s="128">
        <f>SUM(BK203:BK204)</f>
        <v>1.9917573316017546E-2</v>
      </c>
      <c r="BM205" s="145">
        <f>SUM(BM203:BM204)</f>
        <v>76964</v>
      </c>
      <c r="BN205" s="145">
        <f>SUM(BN203:BN204)</f>
        <v>76964</v>
      </c>
      <c r="BP205" s="141"/>
      <c r="BR205" s="145">
        <f>SUM(BR203:BR204)</f>
        <v>76964</v>
      </c>
      <c r="BS205" s="145">
        <f>SUM(BS203:BS204)</f>
        <v>34500.959999999999</v>
      </c>
      <c r="BU205" s="145">
        <f>SUM(BU203:BU204)</f>
        <v>76964</v>
      </c>
      <c r="BV205" s="32">
        <f>SUM(BV203:BV204)</f>
        <v>1545</v>
      </c>
      <c r="BW205" s="595">
        <f>SUM(BW203:BW204)</f>
        <v>78509</v>
      </c>
      <c r="BX205" s="596">
        <f>SUM(BX203:BX204)</f>
        <v>2.0074320461514476E-2</v>
      </c>
      <c r="BZ205" s="597">
        <f>SUM(BZ203:BZ204)</f>
        <v>78509</v>
      </c>
      <c r="CA205" s="597">
        <f>SUM(CA203:CA204)</f>
        <v>78509</v>
      </c>
      <c r="CC205" s="770"/>
      <c r="CE205" s="597">
        <f>SUM(CE203:CE204)</f>
        <v>78509</v>
      </c>
      <c r="CF205" s="597">
        <f>SUM(CF203:CF204)</f>
        <v>0</v>
      </c>
      <c r="CJ205" s="886"/>
      <c r="CK205" s="1"/>
      <c r="CO205" s="16"/>
    </row>
    <row r="206" spans="1:93" x14ac:dyDescent="0.3">
      <c r="H206" s="26"/>
      <c r="R206" s="26"/>
      <c r="S206" s="26"/>
      <c r="AH206" s="26"/>
      <c r="AR206" s="26"/>
      <c r="AS206" s="26"/>
      <c r="AU206" s="26"/>
      <c r="BE206" s="26"/>
      <c r="BF206" s="26"/>
      <c r="BH206" s="26"/>
      <c r="BM206" s="26"/>
      <c r="BN206" s="26"/>
      <c r="BR206" s="26"/>
      <c r="BU206" s="26"/>
      <c r="BZ206" s="589"/>
      <c r="CA206" s="589"/>
      <c r="CE206" s="589"/>
      <c r="CF206" s="589"/>
      <c r="CJ206" s="886"/>
      <c r="CK206" s="1"/>
      <c r="CO206" s="16"/>
    </row>
    <row r="207" spans="1:93" x14ac:dyDescent="0.3">
      <c r="A207" s="11">
        <v>161</v>
      </c>
      <c r="B207" s="3" t="s">
        <v>2</v>
      </c>
      <c r="C207" s="37">
        <v>16102</v>
      </c>
      <c r="D207" s="37">
        <v>51140</v>
      </c>
      <c r="E207" s="49" t="s">
        <v>11</v>
      </c>
      <c r="F207" s="3" t="s">
        <v>2</v>
      </c>
      <c r="G207" s="3" t="s">
        <v>290</v>
      </c>
      <c r="H207" s="26">
        <v>22801</v>
      </c>
      <c r="I207" s="244">
        <v>1000</v>
      </c>
      <c r="J207" s="16">
        <f>H207+I207</f>
        <v>23801</v>
      </c>
      <c r="K207" s="122">
        <f>IF(H207=0," ",(J207-H207)/H207)</f>
        <v>4.3857725538353584E-2</v>
      </c>
      <c r="M207" s="117">
        <v>23801</v>
      </c>
      <c r="N207" s="117">
        <v>23801</v>
      </c>
      <c r="P207" s="259"/>
      <c r="R207" s="26">
        <v>23801</v>
      </c>
      <c r="S207" s="26">
        <v>21137.93</v>
      </c>
      <c r="U207" s="26">
        <v>23801</v>
      </c>
      <c r="V207" s="244">
        <v>-1412</v>
      </c>
      <c r="W207" s="16">
        <f>U207+V207</f>
        <v>22389</v>
      </c>
      <c r="X207" s="122">
        <f>IF(U207=0," ",(W207-U207)/U207)</f>
        <v>-5.9325238435359862E-2</v>
      </c>
      <c r="Z207" s="117">
        <v>22389</v>
      </c>
      <c r="AA207" s="117">
        <v>22389</v>
      </c>
      <c r="AC207" s="259" t="s">
        <v>658</v>
      </c>
      <c r="AE207" s="26">
        <v>22389</v>
      </c>
      <c r="AF207" s="200">
        <v>22388.84</v>
      </c>
      <c r="AH207" s="26">
        <v>22389</v>
      </c>
      <c r="AI207" s="244">
        <v>1889</v>
      </c>
      <c r="AJ207" s="16">
        <f t="shared" ref="AJ207:AJ212" si="106">AH207+AI207</f>
        <v>24278</v>
      </c>
      <c r="AK207" s="122">
        <f>IF(AH207=0," ",(AJ207-AH207)/AH207)</f>
        <v>8.4371789718165169E-2</v>
      </c>
      <c r="AM207" s="117">
        <v>24278</v>
      </c>
      <c r="AN207" s="117">
        <v>24278</v>
      </c>
      <c r="AP207" s="259" t="s">
        <v>843</v>
      </c>
      <c r="AR207" s="26">
        <v>24278</v>
      </c>
      <c r="AS207" s="26">
        <v>24253.599999999999</v>
      </c>
      <c r="AU207" s="26">
        <f t="shared" ref="AU207:AU212" si="107">AR207</f>
        <v>24278</v>
      </c>
      <c r="AV207" s="244">
        <v>1084</v>
      </c>
      <c r="AW207" s="16">
        <f t="shared" ref="AW207:AW212" si="108">AU207+AV207</f>
        <v>25362</v>
      </c>
      <c r="AX207" s="122">
        <f>IF(AU207=0," ",(AW207-AU207)/AU207)</f>
        <v>4.4649476892660023E-2</v>
      </c>
      <c r="AZ207" s="117">
        <v>25262</v>
      </c>
      <c r="BA207" s="117">
        <v>24865</v>
      </c>
      <c r="BC207" s="259" t="s">
        <v>970</v>
      </c>
      <c r="BE207" s="26">
        <v>24865</v>
      </c>
      <c r="BF207" s="26">
        <v>24689.439999999999</v>
      </c>
      <c r="BH207" s="26">
        <v>24865</v>
      </c>
      <c r="BI207" s="244">
        <v>563</v>
      </c>
      <c r="BJ207" s="16">
        <f t="shared" ref="BJ207:BJ212" si="109">BH207+BI207</f>
        <v>25428</v>
      </c>
      <c r="BK207" s="122">
        <f>IF(BH207=0," ",(BJ207-BH207)/BH207)</f>
        <v>2.2642268248542128E-2</v>
      </c>
      <c r="BM207" s="117">
        <v>25428</v>
      </c>
      <c r="BN207" s="117">
        <v>25428</v>
      </c>
      <c r="BP207" s="428" t="s">
        <v>1297</v>
      </c>
      <c r="BR207" s="117">
        <v>25428</v>
      </c>
      <c r="BS207" s="26">
        <v>11882.49</v>
      </c>
      <c r="BU207" s="26">
        <v>25428</v>
      </c>
      <c r="BV207" s="244">
        <v>310</v>
      </c>
      <c r="BW207" s="576">
        <f t="shared" ref="BW207:BW212" si="110">BU207+BV207</f>
        <v>25738</v>
      </c>
      <c r="BX207" s="577">
        <f>IF(BU207=0," ",(BW207-BU207)/BU207)</f>
        <v>1.2191285197420167E-2</v>
      </c>
      <c r="BZ207" s="166">
        <v>25738</v>
      </c>
      <c r="CA207" s="166">
        <v>25738</v>
      </c>
      <c r="CC207" s="765" t="s">
        <v>1379</v>
      </c>
      <c r="CE207" s="166">
        <v>25738</v>
      </c>
      <c r="CF207" s="166"/>
      <c r="CJ207" s="886"/>
      <c r="CK207" s="1"/>
      <c r="CO207" s="16"/>
    </row>
    <row r="208" spans="1:93" x14ac:dyDescent="0.3">
      <c r="A208" s="11">
        <v>161</v>
      </c>
      <c r="B208" s="3" t="s">
        <v>2</v>
      </c>
      <c r="C208" s="37">
        <v>16102</v>
      </c>
      <c r="D208" s="37">
        <v>51141</v>
      </c>
      <c r="E208" s="49" t="s">
        <v>11</v>
      </c>
      <c r="G208" s="3" t="s">
        <v>849</v>
      </c>
      <c r="H208" s="26"/>
      <c r="I208" s="244"/>
      <c r="M208" s="117"/>
      <c r="N208" s="117"/>
      <c r="P208" s="259"/>
      <c r="R208" s="26"/>
      <c r="S208" s="26"/>
      <c r="U208" s="26"/>
      <c r="V208" s="244"/>
      <c r="Z208" s="117"/>
      <c r="AA208" s="117">
        <v>5000</v>
      </c>
      <c r="AC208" s="259" t="s">
        <v>741</v>
      </c>
      <c r="AE208" s="26">
        <v>5000</v>
      </c>
      <c r="AF208" s="200">
        <v>2905.64</v>
      </c>
      <c r="AH208" s="26">
        <v>5000</v>
      </c>
      <c r="AI208" s="244"/>
      <c r="AJ208" s="16">
        <f t="shared" si="106"/>
        <v>5000</v>
      </c>
      <c r="AM208" s="117">
        <v>5000</v>
      </c>
      <c r="AN208" s="117">
        <v>5000</v>
      </c>
      <c r="AP208" s="259"/>
      <c r="AR208" s="26">
        <v>5000</v>
      </c>
      <c r="AS208" s="26">
        <v>1037</v>
      </c>
      <c r="AU208" s="26">
        <f t="shared" si="107"/>
        <v>5000</v>
      </c>
      <c r="AV208" s="244">
        <v>-2000</v>
      </c>
      <c r="AW208" s="16">
        <f t="shared" si="108"/>
        <v>3000</v>
      </c>
      <c r="AZ208" s="117">
        <v>3000</v>
      </c>
      <c r="BA208" s="117">
        <v>0</v>
      </c>
      <c r="BC208" s="259"/>
      <c r="BE208" s="26">
        <v>0</v>
      </c>
      <c r="BF208" s="26"/>
      <c r="BH208" s="26">
        <v>0</v>
      </c>
      <c r="BI208" s="244"/>
      <c r="BJ208" s="16">
        <f t="shared" si="109"/>
        <v>0</v>
      </c>
      <c r="BM208" s="117">
        <v>0</v>
      </c>
      <c r="BN208" s="117">
        <v>0</v>
      </c>
      <c r="BP208" s="259"/>
      <c r="BR208" s="117">
        <v>0</v>
      </c>
      <c r="BS208" s="26"/>
      <c r="BU208" s="26">
        <v>0</v>
      </c>
      <c r="BV208" s="244"/>
      <c r="BW208" s="576">
        <f t="shared" si="110"/>
        <v>0</v>
      </c>
      <c r="BZ208" s="166">
        <v>0</v>
      </c>
      <c r="CA208" s="166">
        <v>0</v>
      </c>
      <c r="CC208" s="753"/>
      <c r="CE208" s="166">
        <v>0</v>
      </c>
      <c r="CF208" s="166"/>
      <c r="CJ208" s="886"/>
      <c r="CK208" s="1"/>
      <c r="CO208" s="16"/>
    </row>
    <row r="209" spans="1:93" x14ac:dyDescent="0.3">
      <c r="A209" s="11">
        <v>161</v>
      </c>
      <c r="B209" s="3" t="s">
        <v>2</v>
      </c>
      <c r="C209" s="37">
        <v>16102</v>
      </c>
      <c r="D209" s="37">
        <v>51310</v>
      </c>
      <c r="E209" s="49" t="s">
        <v>11</v>
      </c>
      <c r="F209" s="3" t="s">
        <v>2</v>
      </c>
      <c r="G209" s="3" t="s">
        <v>291</v>
      </c>
      <c r="H209" s="26">
        <v>888</v>
      </c>
      <c r="I209" s="244">
        <v>-544</v>
      </c>
      <c r="J209" s="16">
        <f>H209+I209</f>
        <v>344</v>
      </c>
      <c r="K209" s="122">
        <f>IF(H209=0," ",(J209-H209)/H209)</f>
        <v>-0.61261261261261257</v>
      </c>
      <c r="M209" s="117">
        <v>344</v>
      </c>
      <c r="N209" s="117">
        <v>344</v>
      </c>
      <c r="P209" s="149" t="s">
        <v>529</v>
      </c>
      <c r="R209" s="26">
        <v>344</v>
      </c>
      <c r="S209" s="26">
        <v>0</v>
      </c>
      <c r="U209" s="26">
        <v>344</v>
      </c>
      <c r="V209" s="244">
        <v>532</v>
      </c>
      <c r="W209" s="16">
        <f>U209+V209</f>
        <v>876</v>
      </c>
      <c r="X209" s="122">
        <f>IF(U209=0," ",(W209-U209)/U209)</f>
        <v>1.5465116279069768</v>
      </c>
      <c r="Z209" s="117">
        <v>876</v>
      </c>
      <c r="AA209" s="117">
        <v>876</v>
      </c>
      <c r="AC209" s="206" t="s">
        <v>648</v>
      </c>
      <c r="AE209" s="26">
        <v>876</v>
      </c>
      <c r="AF209" s="200">
        <v>0</v>
      </c>
      <c r="AH209" s="26">
        <v>876</v>
      </c>
      <c r="AI209" s="244">
        <v>-876</v>
      </c>
      <c r="AJ209" s="16">
        <f t="shared" si="106"/>
        <v>0</v>
      </c>
      <c r="AK209" s="122">
        <f>IF(AH209=0," ",(AJ209-AH209)/AH209)</f>
        <v>-1</v>
      </c>
      <c r="AM209" s="117">
        <v>0</v>
      </c>
      <c r="AN209" s="117">
        <v>0</v>
      </c>
      <c r="AP209" s="206" t="s">
        <v>811</v>
      </c>
      <c r="AR209" s="26">
        <v>0</v>
      </c>
      <c r="AS209" s="26"/>
      <c r="AU209" s="26">
        <f t="shared" si="107"/>
        <v>0</v>
      </c>
      <c r="AV209" s="244"/>
      <c r="AW209" s="16">
        <f t="shared" si="108"/>
        <v>0</v>
      </c>
      <c r="AX209" s="122" t="str">
        <f>IF(AU209=0," ",(AW209-AU209)/AU209)</f>
        <v xml:space="preserve"> </v>
      </c>
      <c r="AZ209" s="117"/>
      <c r="BA209" s="117"/>
      <c r="BC209" s="206" t="s">
        <v>811</v>
      </c>
      <c r="BE209" s="26"/>
      <c r="BF209" s="26"/>
      <c r="BH209" s="26"/>
      <c r="BI209" s="244"/>
      <c r="BJ209" s="16">
        <f t="shared" si="109"/>
        <v>0</v>
      </c>
      <c r="BK209" s="122" t="str">
        <f>IF(BH209=0," ",(BJ209-BH209)/BH209)</f>
        <v xml:space="preserve"> </v>
      </c>
      <c r="BM209" s="117">
        <v>0</v>
      </c>
      <c r="BN209" s="117">
        <v>0</v>
      </c>
      <c r="BP209" s="206"/>
      <c r="BR209" s="117">
        <v>0</v>
      </c>
      <c r="BS209" s="26"/>
      <c r="BU209" s="26">
        <v>0</v>
      </c>
      <c r="BV209" s="244"/>
      <c r="BW209" s="576">
        <f t="shared" si="110"/>
        <v>0</v>
      </c>
      <c r="BX209" s="577" t="str">
        <f>IF(BU209=0," ",(BW209-BU209)/BU209)</f>
        <v xml:space="preserve"> </v>
      </c>
      <c r="BZ209" s="166">
        <v>0</v>
      </c>
      <c r="CA209" s="166">
        <v>0</v>
      </c>
      <c r="CC209" s="774"/>
      <c r="CE209" s="166">
        <v>0</v>
      </c>
      <c r="CF209" s="166"/>
      <c r="CJ209" s="886"/>
      <c r="CK209" s="1"/>
      <c r="CO209" s="16"/>
    </row>
    <row r="210" spans="1:93" x14ac:dyDescent="0.3">
      <c r="A210" s="11">
        <v>161</v>
      </c>
      <c r="B210" s="3" t="s">
        <v>2</v>
      </c>
      <c r="C210" s="37">
        <v>16102</v>
      </c>
      <c r="D210" s="37">
        <v>51820</v>
      </c>
      <c r="E210" s="49" t="s">
        <v>11</v>
      </c>
      <c r="F210" s="3" t="s">
        <v>2</v>
      </c>
      <c r="G210" s="3" t="s">
        <v>292</v>
      </c>
      <c r="H210" s="26">
        <v>1000</v>
      </c>
      <c r="I210" s="244"/>
      <c r="J210" s="16">
        <f>H210+I210</f>
        <v>1000</v>
      </c>
      <c r="K210" s="122">
        <f>IF(H210=0," ",(J210-H210)/H210)</f>
        <v>0</v>
      </c>
      <c r="M210" s="117">
        <v>1000</v>
      </c>
      <c r="N210" s="117">
        <v>1000</v>
      </c>
      <c r="P210" s="259"/>
      <c r="R210" s="26">
        <v>1000</v>
      </c>
      <c r="S210" s="26">
        <v>1000</v>
      </c>
      <c r="U210" s="26">
        <v>1000</v>
      </c>
      <c r="V210" s="244">
        <v>0</v>
      </c>
      <c r="W210" s="16">
        <f>U210+V210</f>
        <v>1000</v>
      </c>
      <c r="X210" s="122">
        <f>IF(U210=0," ",(W210-U210)/U210)</f>
        <v>0</v>
      </c>
      <c r="Z210" s="117">
        <v>1000</v>
      </c>
      <c r="AA210" s="117">
        <v>1000</v>
      </c>
      <c r="AC210" s="259"/>
      <c r="AE210" s="26">
        <v>1000</v>
      </c>
      <c r="AF210" s="200">
        <v>950</v>
      </c>
      <c r="AH210" s="26">
        <v>1000</v>
      </c>
      <c r="AI210" s="244"/>
      <c r="AJ210" s="16">
        <f t="shared" si="106"/>
        <v>1000</v>
      </c>
      <c r="AK210" s="122">
        <f>IF(AH210=0," ",(AJ210-AH210)/AH210)</f>
        <v>0</v>
      </c>
      <c r="AM210" s="117">
        <v>1000</v>
      </c>
      <c r="AN210" s="117">
        <v>1000</v>
      </c>
      <c r="AP210" s="259"/>
      <c r="AR210" s="26">
        <v>1000</v>
      </c>
      <c r="AS210" s="26">
        <v>800</v>
      </c>
      <c r="AU210" s="26">
        <f t="shared" si="107"/>
        <v>1000</v>
      </c>
      <c r="AV210" s="244"/>
      <c r="AW210" s="16">
        <f t="shared" si="108"/>
        <v>1000</v>
      </c>
      <c r="AX210" s="122">
        <f>IF(AU210=0," ",(AW210-AU210)/AU210)</f>
        <v>0</v>
      </c>
      <c r="AZ210" s="117">
        <v>1000</v>
      </c>
      <c r="BA210" s="117">
        <v>1000</v>
      </c>
      <c r="BC210" s="259"/>
      <c r="BE210" s="26">
        <v>1000</v>
      </c>
      <c r="BF210" s="26">
        <v>800</v>
      </c>
      <c r="BH210" s="26">
        <v>1000</v>
      </c>
      <c r="BI210" s="244"/>
      <c r="BJ210" s="16">
        <f t="shared" si="109"/>
        <v>1000</v>
      </c>
      <c r="BK210" s="122">
        <f>IF(BH210=0," ",(BJ210-BH210)/BH210)</f>
        <v>0</v>
      </c>
      <c r="BM210" s="117">
        <v>1000</v>
      </c>
      <c r="BN210" s="117">
        <v>1000</v>
      </c>
      <c r="BP210" s="259"/>
      <c r="BR210" s="117">
        <v>1000</v>
      </c>
      <c r="BS210" s="26">
        <v>400</v>
      </c>
      <c r="BU210" s="26">
        <v>1000</v>
      </c>
      <c r="BV210" s="244"/>
      <c r="BW210" s="576">
        <f t="shared" si="110"/>
        <v>1000</v>
      </c>
      <c r="BX210" s="577">
        <f>IF(BU210=0," ",(BW210-BU210)/BU210)</f>
        <v>0</v>
      </c>
      <c r="BZ210" s="166">
        <v>1000</v>
      </c>
      <c r="CA210" s="166">
        <v>1000</v>
      </c>
      <c r="CC210" s="753"/>
      <c r="CE210" s="166">
        <v>1000</v>
      </c>
      <c r="CF210" s="166"/>
      <c r="CJ210" s="886"/>
      <c r="CK210" s="1"/>
      <c r="CO210" s="16"/>
    </row>
    <row r="211" spans="1:93" x14ac:dyDescent="0.3">
      <c r="A211" s="11">
        <v>161</v>
      </c>
      <c r="B211" s="3" t="s">
        <v>2</v>
      </c>
      <c r="C211" s="37">
        <v>16102</v>
      </c>
      <c r="D211" s="37">
        <v>51825</v>
      </c>
      <c r="E211" s="49" t="s">
        <v>11</v>
      </c>
      <c r="F211" s="3" t="s">
        <v>2</v>
      </c>
      <c r="G211" s="3" t="s">
        <v>293</v>
      </c>
      <c r="H211" s="26">
        <v>300</v>
      </c>
      <c r="I211" s="244"/>
      <c r="J211" s="16">
        <f>H211+I211</f>
        <v>300</v>
      </c>
      <c r="K211" s="122">
        <f>IF(H211=0," ",(J211-H211)/H211)</f>
        <v>0</v>
      </c>
      <c r="M211" s="117">
        <v>300</v>
      </c>
      <c r="N211" s="117">
        <v>300</v>
      </c>
      <c r="P211" s="259"/>
      <c r="R211" s="26">
        <v>300</v>
      </c>
      <c r="S211" s="26">
        <v>300</v>
      </c>
      <c r="U211" s="26">
        <v>300</v>
      </c>
      <c r="V211" s="244">
        <v>0</v>
      </c>
      <c r="W211" s="16">
        <f>U211+V211</f>
        <v>300</v>
      </c>
      <c r="X211" s="122">
        <f>IF(U211=0," ",(W211-U211)/U211)</f>
        <v>0</v>
      </c>
      <c r="Z211" s="117">
        <v>300</v>
      </c>
      <c r="AA211" s="117">
        <v>300</v>
      </c>
      <c r="AC211" s="259"/>
      <c r="AE211" s="26">
        <v>300</v>
      </c>
      <c r="AF211" s="200">
        <v>300</v>
      </c>
      <c r="AH211" s="26">
        <v>300</v>
      </c>
      <c r="AI211" s="244"/>
      <c r="AJ211" s="16">
        <f t="shared" si="106"/>
        <v>300</v>
      </c>
      <c r="AK211" s="122">
        <f>IF(AH211=0," ",(AJ211-AH211)/AH211)</f>
        <v>0</v>
      </c>
      <c r="AM211" s="117">
        <v>300</v>
      </c>
      <c r="AN211" s="117">
        <v>300</v>
      </c>
      <c r="AP211" s="259"/>
      <c r="AR211" s="26">
        <v>300</v>
      </c>
      <c r="AS211" s="26">
        <v>300</v>
      </c>
      <c r="AU211" s="26">
        <f t="shared" si="107"/>
        <v>300</v>
      </c>
      <c r="AV211" s="244"/>
      <c r="AW211" s="16">
        <f t="shared" si="108"/>
        <v>300</v>
      </c>
      <c r="AX211" s="122">
        <f>IF(AU211=0," ",(AW211-AU211)/AU211)</f>
        <v>0</v>
      </c>
      <c r="AZ211" s="117">
        <v>300</v>
      </c>
      <c r="BA211" s="117">
        <v>300</v>
      </c>
      <c r="BC211" s="259"/>
      <c r="BE211" s="26">
        <v>300</v>
      </c>
      <c r="BF211" s="26">
        <v>300</v>
      </c>
      <c r="BH211" s="26">
        <v>300</v>
      </c>
      <c r="BI211" s="244"/>
      <c r="BJ211" s="16">
        <f t="shared" si="109"/>
        <v>300</v>
      </c>
      <c r="BK211" s="122">
        <f>IF(BH211=0," ",(BJ211-BH211)/BH211)</f>
        <v>0</v>
      </c>
      <c r="BM211" s="117">
        <v>300</v>
      </c>
      <c r="BN211" s="117">
        <v>300</v>
      </c>
      <c r="BP211" s="259"/>
      <c r="BR211" s="117">
        <v>300</v>
      </c>
      <c r="BS211" s="26">
        <v>150</v>
      </c>
      <c r="BU211" s="26">
        <v>300</v>
      </c>
      <c r="BV211" s="244"/>
      <c r="BW211" s="576">
        <f t="shared" si="110"/>
        <v>300</v>
      </c>
      <c r="BX211" s="577">
        <f>IF(BU211=0," ",(BW211-BU211)/BU211)</f>
        <v>0</v>
      </c>
      <c r="BZ211" s="166">
        <v>300</v>
      </c>
      <c r="CA211" s="166">
        <v>300</v>
      </c>
      <c r="CC211" s="753"/>
      <c r="CE211" s="166">
        <v>300</v>
      </c>
      <c r="CF211" s="166"/>
      <c r="CJ211" s="886"/>
      <c r="CK211" s="1"/>
      <c r="CO211" s="16"/>
    </row>
    <row r="212" spans="1:93" x14ac:dyDescent="0.3">
      <c r="A212" s="11">
        <v>161</v>
      </c>
      <c r="B212" s="3" t="s">
        <v>2</v>
      </c>
      <c r="C212" s="37">
        <v>16102</v>
      </c>
      <c r="D212" s="37">
        <v>51870</v>
      </c>
      <c r="E212" s="49" t="s">
        <v>11</v>
      </c>
      <c r="F212" s="3" t="s">
        <v>2</v>
      </c>
      <c r="G212" s="3" t="s">
        <v>294</v>
      </c>
      <c r="H212" s="26">
        <v>4322</v>
      </c>
      <c r="I212" s="245">
        <v>-3378</v>
      </c>
      <c r="J212" s="16">
        <f>H212+I212</f>
        <v>944</v>
      </c>
      <c r="K212" s="122">
        <f>IF(H212=0," ",(J212-H212)/H212)</f>
        <v>-0.78158260064784824</v>
      </c>
      <c r="M212" s="118">
        <v>944</v>
      </c>
      <c r="N212" s="118">
        <v>944</v>
      </c>
      <c r="P212" s="137" t="s">
        <v>529</v>
      </c>
      <c r="R212" s="144">
        <v>944</v>
      </c>
      <c r="S212" s="144">
        <v>958.5</v>
      </c>
      <c r="U212" s="144">
        <v>944</v>
      </c>
      <c r="V212" s="245">
        <v>3418</v>
      </c>
      <c r="W212" s="16">
        <f>U212+V212</f>
        <v>4362</v>
      </c>
      <c r="X212" s="122">
        <f>IF(U212=0," ",(W212-U212)/U212)</f>
        <v>3.6207627118644066</v>
      </c>
      <c r="Z212" s="118">
        <v>4362</v>
      </c>
      <c r="AA212" s="118">
        <v>4362</v>
      </c>
      <c r="AC212" s="206" t="s">
        <v>648</v>
      </c>
      <c r="AE212" s="144">
        <v>4362</v>
      </c>
      <c r="AF212" s="271">
        <v>3211.5</v>
      </c>
      <c r="AH212" s="144">
        <v>4362</v>
      </c>
      <c r="AI212" s="245">
        <v>-1752</v>
      </c>
      <c r="AJ212" s="16">
        <f t="shared" si="106"/>
        <v>2610</v>
      </c>
      <c r="AK212" s="122">
        <f>IF(AH212=0," ",(AJ212-AH212)/AH212)</f>
        <v>-0.40165061898211829</v>
      </c>
      <c r="AM212" s="117">
        <v>2610</v>
      </c>
      <c r="AN212" s="117">
        <v>2610</v>
      </c>
      <c r="AP212" s="206" t="s">
        <v>842</v>
      </c>
      <c r="AR212" s="26">
        <v>2610</v>
      </c>
      <c r="AS212" s="26">
        <v>1586</v>
      </c>
      <c r="AU212" s="26">
        <f t="shared" si="107"/>
        <v>2610</v>
      </c>
      <c r="AV212" s="245"/>
      <c r="AW212" s="16">
        <f t="shared" si="108"/>
        <v>2610</v>
      </c>
      <c r="AX212" s="122">
        <f>IF(AU212=0," ",(AW212-AU212)/AU212)</f>
        <v>0</v>
      </c>
      <c r="AZ212" s="117">
        <v>2610</v>
      </c>
      <c r="BA212" s="117">
        <f>2610+1959</f>
        <v>4569</v>
      </c>
      <c r="BC212" s="266" t="s">
        <v>988</v>
      </c>
      <c r="BE212" s="26">
        <f>2610+1959</f>
        <v>4569</v>
      </c>
      <c r="BF212" s="26">
        <v>4029.75</v>
      </c>
      <c r="BH212" s="26">
        <f>2610+1959</f>
        <v>4569</v>
      </c>
      <c r="BI212" s="245">
        <v>-2969</v>
      </c>
      <c r="BJ212" s="16">
        <f t="shared" si="109"/>
        <v>1600</v>
      </c>
      <c r="BK212" s="122">
        <f>IF(BH212=0," ",(BJ212-BH212)/BH212)</f>
        <v>-0.64981396366819877</v>
      </c>
      <c r="BM212" s="117">
        <v>1600</v>
      </c>
      <c r="BN212" s="117">
        <v>1600</v>
      </c>
      <c r="BP212" s="259" t="s">
        <v>1133</v>
      </c>
      <c r="BR212" s="117">
        <v>1600</v>
      </c>
      <c r="BS212" s="144">
        <v>1321</v>
      </c>
      <c r="BU212" s="26">
        <v>1600</v>
      </c>
      <c r="BV212" s="245"/>
      <c r="BW212" s="576">
        <f t="shared" si="110"/>
        <v>1600</v>
      </c>
      <c r="BX212" s="577">
        <f>IF(BU212=0," ",(BW212-BU212)/BU212)</f>
        <v>0</v>
      </c>
      <c r="BZ212" s="166">
        <v>1600</v>
      </c>
      <c r="CA212" s="166">
        <v>11269</v>
      </c>
      <c r="CC212" s="430" t="s">
        <v>1381</v>
      </c>
      <c r="CE212" s="247">
        <f>1600+9669</f>
        <v>11269</v>
      </c>
      <c r="CF212" s="166"/>
      <c r="CH212" s="813">
        <v>9669</v>
      </c>
      <c r="CJ212" s="886"/>
      <c r="CK212" s="1"/>
      <c r="CO212" s="16"/>
    </row>
    <row r="213" spans="1:93" x14ac:dyDescent="0.3">
      <c r="A213" s="12"/>
      <c r="H213" s="145">
        <f>SUM(H207:H212)</f>
        <v>29311</v>
      </c>
      <c r="I213" s="32">
        <f>SUM(I207:I212)</f>
        <v>-2922</v>
      </c>
      <c r="J213" s="32">
        <f>SUM(J207:J212)</f>
        <v>26389</v>
      </c>
      <c r="K213" s="128">
        <f>SUM(K207:K212)</f>
        <v>-1.3503374877221073</v>
      </c>
      <c r="M213" s="32">
        <f>SUM(M207:M212)</f>
        <v>26389</v>
      </c>
      <c r="N213" s="32">
        <f>SUM(N207:N212)</f>
        <v>26389</v>
      </c>
      <c r="P213" s="141">
        <f>SUM(P207:P212)</f>
        <v>0</v>
      </c>
      <c r="R213" s="145">
        <f>SUM(R207:R212)</f>
        <v>26389</v>
      </c>
      <c r="S213" s="32">
        <f>SUM(S207:S212)</f>
        <v>23396.43</v>
      </c>
      <c r="U213" s="32">
        <f>SUM(U207:U212)</f>
        <v>26389</v>
      </c>
      <c r="V213" s="32">
        <f>SUM(V207:V212)</f>
        <v>2538</v>
      </c>
      <c r="W213" s="32">
        <f>SUM(W207:W212)</f>
        <v>28927</v>
      </c>
      <c r="X213" s="128">
        <f>SUM(X207:X212)</f>
        <v>5.1079491013360236</v>
      </c>
      <c r="Z213" s="32">
        <f>SUM(Z207:Z212)</f>
        <v>28927</v>
      </c>
      <c r="AA213" s="32">
        <f>SUM(AA207:AA212)</f>
        <v>33927</v>
      </c>
      <c r="AC213" s="141"/>
      <c r="AE213" s="32">
        <f>SUM(AE207:AE212)</f>
        <v>33927</v>
      </c>
      <c r="AF213" s="32">
        <f>SUM(AF207:AF212)</f>
        <v>29755.98</v>
      </c>
      <c r="AH213" s="32">
        <v>33927</v>
      </c>
      <c r="AI213" s="32">
        <f>SUM(AI207:AI212)</f>
        <v>-739</v>
      </c>
      <c r="AJ213" s="32">
        <f>SUM(AJ207:AJ212)</f>
        <v>33188</v>
      </c>
      <c r="AK213" s="128">
        <f>SUM(AK207:AK212)</f>
        <v>-1.317278829263953</v>
      </c>
      <c r="AM213" s="32">
        <f>SUM(AM207:AM212)</f>
        <v>33188</v>
      </c>
      <c r="AN213" s="32">
        <f>SUM(AN207:AN212)</f>
        <v>33188</v>
      </c>
      <c r="AP213" s="141"/>
      <c r="AR213" s="145">
        <f>SUM(AR207:AR212)</f>
        <v>33188</v>
      </c>
      <c r="AS213" s="32">
        <f>SUM(AS207:AS212)</f>
        <v>27976.6</v>
      </c>
      <c r="AU213" s="145">
        <f>SUM(AU207:AU212)</f>
        <v>33188</v>
      </c>
      <c r="AV213" s="32">
        <f>SUM(AV207:AV212)</f>
        <v>-916</v>
      </c>
      <c r="AW213" s="32">
        <f>SUM(AW207:AW212)</f>
        <v>32272</v>
      </c>
      <c r="AX213" s="128">
        <f>SUM(AX207:AX212)</f>
        <v>4.4649476892660023E-2</v>
      </c>
      <c r="AZ213" s="32">
        <f>SUM(AZ207:AZ212)</f>
        <v>32172</v>
      </c>
      <c r="BA213" s="32">
        <f>SUM(BA207:BA212)</f>
        <v>30734</v>
      </c>
      <c r="BC213" s="141"/>
      <c r="BE213" s="32">
        <f>SUM(BE207:BE212)</f>
        <v>30734</v>
      </c>
      <c r="BF213" s="32">
        <f>SUM(BF207:BF212)</f>
        <v>29819.19</v>
      </c>
      <c r="BH213" s="32">
        <f>SUM(BH207:BH212)</f>
        <v>30734</v>
      </c>
      <c r="BI213" s="32">
        <f>SUM(BI207:BI212)</f>
        <v>-2406</v>
      </c>
      <c r="BJ213" s="32">
        <f>SUM(BJ207:BJ212)</f>
        <v>28328</v>
      </c>
      <c r="BK213" s="128">
        <f>SUM(BK207:BK212)</f>
        <v>-0.62717169541965667</v>
      </c>
      <c r="BM213" s="32">
        <f>SUM(BM207:BM212)</f>
        <v>28328</v>
      </c>
      <c r="BN213" s="32">
        <f>SUM(BN207:BN212)</f>
        <v>28328</v>
      </c>
      <c r="BP213" s="141"/>
      <c r="BR213" s="32">
        <f>SUM(BR207:BR212)</f>
        <v>28328</v>
      </c>
      <c r="BS213" s="32">
        <f>SUM(BS207:BS212)</f>
        <v>13753.49</v>
      </c>
      <c r="BU213" s="32">
        <f>SUM(BU207:BU212)</f>
        <v>28328</v>
      </c>
      <c r="BV213" s="32">
        <f>SUM(BV207:BV212)</f>
        <v>310</v>
      </c>
      <c r="BW213" s="595">
        <f>SUM(BW207:BW212)</f>
        <v>28638</v>
      </c>
      <c r="BX213" s="596">
        <f>SUM(BX207:BX212)</f>
        <v>1.2191285197420167E-2</v>
      </c>
      <c r="BZ213" s="595">
        <f>SUM(BZ207:BZ212)</f>
        <v>28638</v>
      </c>
      <c r="CA213" s="595">
        <f>SUM(CA207:CA212)</f>
        <v>38307</v>
      </c>
      <c r="CC213" s="770"/>
      <c r="CE213" s="595">
        <f>SUM(CE207:CE212)</f>
        <v>38307</v>
      </c>
      <c r="CF213" s="595">
        <f>SUM(CF207:CF212)</f>
        <v>0</v>
      </c>
      <c r="CJ213" s="886"/>
      <c r="CK213" s="1"/>
      <c r="CO213" s="16"/>
    </row>
    <row r="214" spans="1:93" x14ac:dyDescent="0.3">
      <c r="R214" s="26"/>
      <c r="AS214" s="16"/>
      <c r="CJ214" s="886"/>
      <c r="CK214" s="1"/>
      <c r="CO214" s="16"/>
    </row>
    <row r="215" spans="1:93" s="19" customFormat="1" x14ac:dyDescent="0.3">
      <c r="A215" s="27"/>
      <c r="B215" s="8"/>
      <c r="C215" s="42"/>
      <c r="D215" s="42"/>
      <c r="E215" s="54"/>
      <c r="F215" s="8"/>
      <c r="G215" s="8" t="s">
        <v>132</v>
      </c>
      <c r="H215" s="28">
        <f>H205+H213</f>
        <v>95146</v>
      </c>
      <c r="I215" s="28">
        <f>I205+I213</f>
        <v>-13</v>
      </c>
      <c r="J215" s="28">
        <f>J205+J213</f>
        <v>95133</v>
      </c>
      <c r="K215" s="123">
        <f>IF(H215=0," ",(J215-H215)/H215)</f>
        <v>-1.366321232631955E-4</v>
      </c>
      <c r="M215" s="28">
        <f>M205+M213</f>
        <v>88061</v>
      </c>
      <c r="N215" s="28">
        <f>N205+N213</f>
        <v>88061</v>
      </c>
      <c r="P215" s="139">
        <f>P205+P213</f>
        <v>0</v>
      </c>
      <c r="R215" s="28">
        <f>R205+R213</f>
        <v>88061</v>
      </c>
      <c r="S215" s="28">
        <f>S205+S213</f>
        <v>85321.85</v>
      </c>
      <c r="U215" s="28">
        <f>U205+U213</f>
        <v>88061</v>
      </c>
      <c r="V215" s="28">
        <f>V205+V213</f>
        <v>5513</v>
      </c>
      <c r="W215" s="28">
        <f>W205+W213</f>
        <v>93574</v>
      </c>
      <c r="X215" s="123">
        <f>IF(U215=0," ",(W215-U215)/U215)</f>
        <v>6.2604331088677162E-2</v>
      </c>
      <c r="Z215" s="28">
        <f>Z205+Z213</f>
        <v>93574</v>
      </c>
      <c r="AA215" s="28">
        <f>AA205+AA213</f>
        <v>98574</v>
      </c>
      <c r="AC215" s="139"/>
      <c r="AE215" s="28">
        <f>AE205+AE213</f>
        <v>98574</v>
      </c>
      <c r="AF215" s="201">
        <f>AF205+AF213</f>
        <v>99560.78</v>
      </c>
      <c r="AH215" s="28">
        <v>98574</v>
      </c>
      <c r="AI215" s="28">
        <f>AI205+AI213</f>
        <v>8331</v>
      </c>
      <c r="AJ215" s="28">
        <f>AJ205+AJ213</f>
        <v>106905</v>
      </c>
      <c r="AK215" s="123">
        <f>IF(AH215=0," ",(AJ215-AH215)/AH215)</f>
        <v>8.4515186560350605E-2</v>
      </c>
      <c r="AM215" s="28">
        <f>AM205+AM213</f>
        <v>106905</v>
      </c>
      <c r="AN215" s="28">
        <f>AN205+AN213</f>
        <v>106905</v>
      </c>
      <c r="AP215" s="139"/>
      <c r="AR215" s="28">
        <f>AR205+AR213</f>
        <v>106905</v>
      </c>
      <c r="AS215" s="28">
        <f>AS205+AS213</f>
        <v>101692.92000000001</v>
      </c>
      <c r="AU215" s="28">
        <f>AU205+AU213</f>
        <v>106905</v>
      </c>
      <c r="AV215" s="28">
        <f>AV205+AV213</f>
        <v>2331</v>
      </c>
      <c r="AW215" s="28">
        <f>AW205+AW213</f>
        <v>109236</v>
      </c>
      <c r="AX215" s="123">
        <f>IF(AU215=0," ",(AW215-AU215)/AU215)</f>
        <v>2.1804405780833449E-2</v>
      </c>
      <c r="AZ215" s="28">
        <f>AZ205+AZ213</f>
        <v>108844</v>
      </c>
      <c r="BA215" s="28">
        <f>BA205+BA213</f>
        <v>106195</v>
      </c>
      <c r="BC215" s="139"/>
      <c r="BE215" s="28">
        <f>BE205+BE213</f>
        <v>106195</v>
      </c>
      <c r="BF215" s="28">
        <f>BF205+BF213</f>
        <v>105279.51000000001</v>
      </c>
      <c r="BG215" s="9"/>
      <c r="BH215" s="28">
        <f>BH205+BH213</f>
        <v>106195</v>
      </c>
      <c r="BI215" s="28">
        <f>BI205+BI213</f>
        <v>-903</v>
      </c>
      <c r="BJ215" s="28">
        <f>BJ205+BJ213</f>
        <v>105292</v>
      </c>
      <c r="BK215" s="123">
        <f>IF(BH215=0," ",(BJ215-BH215)/BH215)</f>
        <v>-8.5032251989265034E-3</v>
      </c>
      <c r="BM215" s="28">
        <f>BM205+BM213</f>
        <v>105292</v>
      </c>
      <c r="BN215" s="28">
        <f>BN205+BN213</f>
        <v>105292</v>
      </c>
      <c r="BP215" s="139"/>
      <c r="BR215" s="28">
        <f>BR205+BR213</f>
        <v>105292</v>
      </c>
      <c r="BS215" s="28">
        <f>BS205+BS213</f>
        <v>48254.45</v>
      </c>
      <c r="BT215" s="9"/>
      <c r="BU215" s="28">
        <f>BU205+BU213</f>
        <v>105292</v>
      </c>
      <c r="BV215" s="532">
        <f>BV205+BV213</f>
        <v>1855</v>
      </c>
      <c r="BW215" s="591">
        <f>BW205+BW213</f>
        <v>107147</v>
      </c>
      <c r="BX215" s="579">
        <f>IF(BU215=0," ",(BW215-BU215)/BU215)</f>
        <v>1.7617672757664401E-2</v>
      </c>
      <c r="BY215" s="580"/>
      <c r="BZ215" s="591">
        <f>BZ205+BZ213</f>
        <v>107147</v>
      </c>
      <c r="CA215" s="591">
        <f>CA205+CA213</f>
        <v>116816</v>
      </c>
      <c r="CB215" s="580"/>
      <c r="CC215" s="769"/>
      <c r="CD215" s="580"/>
      <c r="CE215" s="591">
        <f>CE205+CE213</f>
        <v>116816</v>
      </c>
      <c r="CF215" s="591">
        <f>CF205+CF213</f>
        <v>0</v>
      </c>
      <c r="CG215" s="9"/>
      <c r="CH215" s="815"/>
      <c r="CI215" s="815"/>
      <c r="CJ215" s="886"/>
      <c r="CK215" s="1"/>
      <c r="CO215" s="16"/>
    </row>
    <row r="216" spans="1:93" x14ac:dyDescent="0.3">
      <c r="AS216" s="16"/>
      <c r="CJ216" s="886"/>
      <c r="CK216" s="1"/>
      <c r="CO216" s="16"/>
    </row>
    <row r="217" spans="1:93" x14ac:dyDescent="0.3">
      <c r="A217" s="11">
        <v>161</v>
      </c>
      <c r="B217" s="3" t="s">
        <v>2</v>
      </c>
      <c r="C217" s="37">
        <v>16105</v>
      </c>
      <c r="D217" s="37">
        <v>52700</v>
      </c>
      <c r="E217" s="49" t="s">
        <v>118</v>
      </c>
      <c r="F217" s="3" t="s">
        <v>2</v>
      </c>
      <c r="G217" s="3" t="s">
        <v>295</v>
      </c>
      <c r="H217" s="26">
        <v>300</v>
      </c>
      <c r="I217" s="244">
        <v>-150</v>
      </c>
      <c r="J217" s="16">
        <f>H217+I217</f>
        <v>150</v>
      </c>
      <c r="K217" s="122">
        <f>IF(H217=0," ",(J217-H217)/H217)</f>
        <v>-0.5</v>
      </c>
      <c r="M217" s="117">
        <v>150</v>
      </c>
      <c r="N217" s="117">
        <v>150</v>
      </c>
      <c r="P217" s="149" t="s">
        <v>529</v>
      </c>
      <c r="R217" s="26">
        <v>150</v>
      </c>
      <c r="S217" s="26">
        <v>0</v>
      </c>
      <c r="U217" s="26">
        <v>150</v>
      </c>
      <c r="V217" s="244">
        <v>0</v>
      </c>
      <c r="W217" s="16">
        <f>U217+V217</f>
        <v>150</v>
      </c>
      <c r="X217" s="122">
        <f>IF(U217=0," ",(W217-U217)/U217)</f>
        <v>0</v>
      </c>
      <c r="Z217" s="117">
        <v>150</v>
      </c>
      <c r="AA217" s="117">
        <v>450</v>
      </c>
      <c r="AC217" s="259" t="s">
        <v>739</v>
      </c>
      <c r="AE217" s="26">
        <v>450</v>
      </c>
      <c r="AF217" s="200">
        <v>0</v>
      </c>
      <c r="AH217" s="26">
        <v>450</v>
      </c>
      <c r="AI217" s="244">
        <v>-150</v>
      </c>
      <c r="AJ217" s="16">
        <f>AH217+AI217</f>
        <v>300</v>
      </c>
      <c r="AK217" s="122">
        <f>IF(AH217=0," ",(AJ217-AH217)/AH217)</f>
        <v>-0.33333333333333331</v>
      </c>
      <c r="AM217" s="117">
        <v>300</v>
      </c>
      <c r="AN217" s="117">
        <v>300</v>
      </c>
      <c r="AO217" s="178"/>
      <c r="AP217" s="206" t="s">
        <v>812</v>
      </c>
      <c r="AR217" s="26">
        <v>300</v>
      </c>
      <c r="AS217" s="26">
        <v>0</v>
      </c>
      <c r="AU217" s="26">
        <f>AR217</f>
        <v>300</v>
      </c>
      <c r="AV217" s="244"/>
      <c r="AW217" s="16">
        <f>AU217+AV217</f>
        <v>300</v>
      </c>
      <c r="AX217" s="122">
        <f>IF(AU217=0," ",(AW217-AU217)/AU217)</f>
        <v>0</v>
      </c>
      <c r="AZ217" s="117">
        <v>300</v>
      </c>
      <c r="BA217" s="117">
        <f>300+150</f>
        <v>450</v>
      </c>
      <c r="BB217" s="178"/>
      <c r="BC217" s="266" t="s">
        <v>982</v>
      </c>
      <c r="BE217" s="26">
        <f>300+150</f>
        <v>450</v>
      </c>
      <c r="BF217" s="26"/>
      <c r="BH217" s="26">
        <f>300+150</f>
        <v>450</v>
      </c>
      <c r="BI217" s="244">
        <v>-300</v>
      </c>
      <c r="BJ217" s="16">
        <f t="shared" ref="BJ217:BJ231" si="111">BH217+BI217</f>
        <v>150</v>
      </c>
      <c r="BK217" s="122">
        <f>IF(BH217=0," ",(BJ217-BH217)/BH217)</f>
        <v>-0.66666666666666663</v>
      </c>
      <c r="BM217" s="117">
        <v>150</v>
      </c>
      <c r="BN217" s="117">
        <v>150</v>
      </c>
      <c r="BO217" s="178"/>
      <c r="BP217" s="259" t="s">
        <v>1130</v>
      </c>
      <c r="BR217" s="117">
        <v>150</v>
      </c>
      <c r="BS217" s="26">
        <v>0</v>
      </c>
      <c r="BU217" s="26">
        <v>150</v>
      </c>
      <c r="BV217" s="244"/>
      <c r="BW217" s="576">
        <f t="shared" ref="BW217:BW231" si="112">BU217+BV217</f>
        <v>150</v>
      </c>
      <c r="BX217" s="577">
        <f>IF(BU217=0," ",(BW217-BU217)/BU217)</f>
        <v>0</v>
      </c>
      <c r="BZ217" s="166">
        <v>150</v>
      </c>
      <c r="CA217" s="166">
        <v>450</v>
      </c>
      <c r="CC217" s="430" t="s">
        <v>1382</v>
      </c>
      <c r="CE217" s="247">
        <f>150+300</f>
        <v>450</v>
      </c>
      <c r="CF217" s="166"/>
      <c r="CH217" s="813">
        <v>300</v>
      </c>
      <c r="CJ217" s="886"/>
      <c r="CK217" s="1"/>
      <c r="CO217" s="16"/>
    </row>
    <row r="218" spans="1:93" x14ac:dyDescent="0.3">
      <c r="A218" s="11">
        <v>161</v>
      </c>
      <c r="B218" s="3" t="s">
        <v>2</v>
      </c>
      <c r="C218" s="37">
        <v>16105</v>
      </c>
      <c r="D218" s="37">
        <v>52760</v>
      </c>
      <c r="E218" s="49" t="s">
        <v>118</v>
      </c>
      <c r="F218" s="3" t="s">
        <v>2</v>
      </c>
      <c r="G218" s="3" t="s">
        <v>296</v>
      </c>
      <c r="H218" s="26">
        <v>175</v>
      </c>
      <c r="I218" s="244"/>
      <c r="J218" s="16">
        <f>H218+I218</f>
        <v>175</v>
      </c>
      <c r="K218" s="122">
        <f>IF(H218=0," ",(J218-H218)/H218)</f>
        <v>0</v>
      </c>
      <c r="M218" s="117">
        <v>175</v>
      </c>
      <c r="N218" s="117">
        <v>175</v>
      </c>
      <c r="P218" s="259"/>
      <c r="R218" s="26">
        <v>175</v>
      </c>
      <c r="S218" s="26">
        <v>185</v>
      </c>
      <c r="U218" s="26">
        <v>175</v>
      </c>
      <c r="V218" s="244">
        <v>0</v>
      </c>
      <c r="W218" s="16">
        <f>U218+V218</f>
        <v>175</v>
      </c>
      <c r="X218" s="122">
        <f>IF(U218=0," ",(W218-U218)/U218)</f>
        <v>0</v>
      </c>
      <c r="Z218" s="117">
        <v>175</v>
      </c>
      <c r="AA218" s="117">
        <v>175</v>
      </c>
      <c r="AC218" s="259"/>
      <c r="AE218" s="26">
        <v>175</v>
      </c>
      <c r="AF218" s="200">
        <v>175</v>
      </c>
      <c r="AH218" s="26">
        <v>175</v>
      </c>
      <c r="AI218" s="244"/>
      <c r="AJ218" s="16">
        <f>AH218+AI218</f>
        <v>175</v>
      </c>
      <c r="AK218" s="122">
        <f>IF(AH218=0," ",(AJ218-AH218)/AH218)</f>
        <v>0</v>
      </c>
      <c r="AM218" s="117">
        <v>175</v>
      </c>
      <c r="AN218" s="117">
        <v>175</v>
      </c>
      <c r="AP218" s="259"/>
      <c r="AR218" s="26">
        <v>175</v>
      </c>
      <c r="AS218" s="26">
        <v>175</v>
      </c>
      <c r="AU218" s="26">
        <f>AR218</f>
        <v>175</v>
      </c>
      <c r="AV218" s="244"/>
      <c r="AW218" s="16">
        <f>AU218+AV218</f>
        <v>175</v>
      </c>
      <c r="AX218" s="122">
        <f>IF(AU218=0," ",(AW218-AU218)/AU218)</f>
        <v>0</v>
      </c>
      <c r="AZ218" s="117">
        <v>175</v>
      </c>
      <c r="BA218" s="117">
        <v>175</v>
      </c>
      <c r="BC218" s="259"/>
      <c r="BE218" s="26">
        <v>175</v>
      </c>
      <c r="BF218" s="26">
        <v>185</v>
      </c>
      <c r="BH218" s="26">
        <v>175</v>
      </c>
      <c r="BI218" s="244"/>
      <c r="BJ218" s="16">
        <f t="shared" si="111"/>
        <v>175</v>
      </c>
      <c r="BK218" s="122">
        <f>IF(BH218=0," ",(BJ218-BH218)/BH218)</f>
        <v>0</v>
      </c>
      <c r="BM218" s="117">
        <v>175</v>
      </c>
      <c r="BN218" s="117">
        <v>175</v>
      </c>
      <c r="BP218" s="259"/>
      <c r="BR218" s="117">
        <v>175</v>
      </c>
      <c r="BS218" s="26">
        <v>175</v>
      </c>
      <c r="BU218" s="26">
        <v>175</v>
      </c>
      <c r="BV218" s="244"/>
      <c r="BW218" s="576">
        <f t="shared" si="112"/>
        <v>175</v>
      </c>
      <c r="BX218" s="577">
        <f>IF(BU218=0," ",(BW218-BU218)/BU218)</f>
        <v>0</v>
      </c>
      <c r="BZ218" s="166">
        <v>175</v>
      </c>
      <c r="CA218" s="166">
        <v>175</v>
      </c>
      <c r="CC218" s="753"/>
      <c r="CE218" s="166">
        <v>175</v>
      </c>
      <c r="CF218" s="166"/>
      <c r="CJ218" s="886"/>
      <c r="CK218" s="1"/>
      <c r="CO218" s="16"/>
    </row>
    <row r="219" spans="1:93" x14ac:dyDescent="0.3">
      <c r="A219" s="11">
        <v>161</v>
      </c>
      <c r="C219" s="37">
        <v>16105</v>
      </c>
      <c r="D219" s="37">
        <v>53054</v>
      </c>
      <c r="E219" s="49" t="s">
        <v>118</v>
      </c>
      <c r="G219" s="3" t="s">
        <v>1131</v>
      </c>
      <c r="H219" s="26"/>
      <c r="I219" s="244"/>
      <c r="M219" s="117"/>
      <c r="N219" s="117"/>
      <c r="P219" s="259"/>
      <c r="R219" s="26"/>
      <c r="S219" s="26"/>
      <c r="U219" s="26"/>
      <c r="V219" s="244"/>
      <c r="Z219" s="117"/>
      <c r="AA219" s="117"/>
      <c r="AC219" s="259"/>
      <c r="AE219" s="26"/>
      <c r="AF219" s="200"/>
      <c r="AH219" s="26"/>
      <c r="AI219" s="244"/>
      <c r="AM219" s="117"/>
      <c r="AN219" s="117"/>
      <c r="AP219" s="259"/>
      <c r="AR219" s="26"/>
      <c r="AS219" s="26"/>
      <c r="AU219" s="26"/>
      <c r="AV219" s="244"/>
      <c r="AZ219" s="117"/>
      <c r="BA219" s="117"/>
      <c r="BC219" s="259"/>
      <c r="BE219" s="26"/>
      <c r="BF219" s="26"/>
      <c r="BH219" s="26"/>
      <c r="BI219" s="244">
        <v>2000</v>
      </c>
      <c r="BJ219" s="16">
        <f t="shared" si="111"/>
        <v>2000</v>
      </c>
      <c r="BM219" s="117">
        <v>2000</v>
      </c>
      <c r="BN219" s="117">
        <f>2000+4772</f>
        <v>6772</v>
      </c>
      <c r="BP219" s="414" t="s">
        <v>1195</v>
      </c>
      <c r="BR219" s="117">
        <f>2000+4772</f>
        <v>6772</v>
      </c>
      <c r="BS219" s="26">
        <v>5335.75</v>
      </c>
      <c r="BU219" s="26">
        <f>2000+4772</f>
        <v>6772</v>
      </c>
      <c r="BV219" s="244">
        <f>-1195-800-377</f>
        <v>-2372</v>
      </c>
      <c r="BW219" s="576">
        <f t="shared" si="112"/>
        <v>4400</v>
      </c>
      <c r="BZ219" s="166">
        <v>4400</v>
      </c>
      <c r="CA219" s="166">
        <v>4400</v>
      </c>
      <c r="CC219" s="755" t="s">
        <v>1380</v>
      </c>
      <c r="CE219" s="166">
        <v>4400</v>
      </c>
      <c r="CF219" s="166"/>
      <c r="CJ219" s="886"/>
      <c r="CK219" s="1"/>
      <c r="CO219" s="16"/>
    </row>
    <row r="220" spans="1:93" x14ac:dyDescent="0.3">
      <c r="A220" s="11">
        <v>161</v>
      </c>
      <c r="B220" s="3" t="s">
        <v>2</v>
      </c>
      <c r="C220" s="37">
        <v>16105</v>
      </c>
      <c r="D220" s="37">
        <v>53421</v>
      </c>
      <c r="E220" s="49" t="s">
        <v>118</v>
      </c>
      <c r="F220" s="3" t="s">
        <v>2</v>
      </c>
      <c r="G220" s="3" t="s">
        <v>297</v>
      </c>
      <c r="H220" s="26">
        <v>206</v>
      </c>
      <c r="I220" s="244"/>
      <c r="J220" s="16">
        <f t="shared" ref="J220:J231" si="113">H220+I220</f>
        <v>206</v>
      </c>
      <c r="K220" s="122">
        <f t="shared" ref="K220:K231" si="114">IF(H220=0," ",(J220-H220)/H220)</f>
        <v>0</v>
      </c>
      <c r="M220" s="117">
        <v>206</v>
      </c>
      <c r="N220" s="117">
        <v>206</v>
      </c>
      <c r="P220" s="259"/>
      <c r="R220" s="26">
        <v>206</v>
      </c>
      <c r="S220" s="26">
        <v>110.56</v>
      </c>
      <c r="U220" s="26">
        <v>206</v>
      </c>
      <c r="V220" s="244">
        <v>0</v>
      </c>
      <c r="W220" s="16">
        <f t="shared" ref="W220:W231" si="115">U220+V220</f>
        <v>206</v>
      </c>
      <c r="X220" s="122">
        <f t="shared" ref="X220:X231" si="116">IF(U220=0," ",(W220-U220)/U220)</f>
        <v>0</v>
      </c>
      <c r="Z220" s="117">
        <v>206</v>
      </c>
      <c r="AA220" s="117">
        <v>206</v>
      </c>
      <c r="AC220" s="259"/>
      <c r="AE220" s="26">
        <v>206</v>
      </c>
      <c r="AF220" s="200">
        <v>25.98</v>
      </c>
      <c r="AH220" s="26">
        <v>206</v>
      </c>
      <c r="AI220" s="244"/>
      <c r="AJ220" s="16">
        <f t="shared" ref="AJ220:AJ231" si="117">AH220+AI220</f>
        <v>206</v>
      </c>
      <c r="AK220" s="122">
        <f t="shared" ref="AK220:AK231" si="118">IF(AH220=0," ",(AJ220-AH220)/AH220)</f>
        <v>0</v>
      </c>
      <c r="AM220" s="117">
        <v>206</v>
      </c>
      <c r="AN220" s="117">
        <v>206</v>
      </c>
      <c r="AP220" s="259"/>
      <c r="AR220" s="26">
        <v>206</v>
      </c>
      <c r="AS220" s="26">
        <v>0</v>
      </c>
      <c r="AU220" s="26">
        <f t="shared" ref="AU220:AU231" si="119">AR220</f>
        <v>206</v>
      </c>
      <c r="AV220" s="244"/>
      <c r="AW220" s="16">
        <f t="shared" ref="AW220:AW231" si="120">AU220+AV220</f>
        <v>206</v>
      </c>
      <c r="AX220" s="122">
        <f t="shared" ref="AX220:AX231" si="121">IF(AU220=0," ",(AW220-AU220)/AU220)</f>
        <v>0</v>
      </c>
      <c r="AZ220" s="117">
        <v>206</v>
      </c>
      <c r="BA220" s="117">
        <v>206</v>
      </c>
      <c r="BC220" s="259"/>
      <c r="BE220" s="26">
        <v>206</v>
      </c>
      <c r="BF220" s="26">
        <v>173.72</v>
      </c>
      <c r="BH220" s="26">
        <v>206</v>
      </c>
      <c r="BI220" s="244"/>
      <c r="BJ220" s="16">
        <f t="shared" si="111"/>
        <v>206</v>
      </c>
      <c r="BK220" s="122">
        <f t="shared" ref="BK220:BK231" si="122">IF(BH220=0," ",(BJ220-BH220)/BH220)</f>
        <v>0</v>
      </c>
      <c r="BM220" s="117">
        <v>206</v>
      </c>
      <c r="BN220" s="117">
        <v>206</v>
      </c>
      <c r="BP220" s="259"/>
      <c r="BR220" s="117">
        <v>206</v>
      </c>
      <c r="BS220" s="26">
        <v>114.38</v>
      </c>
      <c r="BU220" s="26">
        <v>206</v>
      </c>
      <c r="BV220" s="244"/>
      <c r="BW220" s="576">
        <f t="shared" si="112"/>
        <v>206</v>
      </c>
      <c r="BX220" s="577">
        <f t="shared" ref="BX220:BX231" si="123">IF(BU220=0," ",(BW220-BU220)/BU220)</f>
        <v>0</v>
      </c>
      <c r="BZ220" s="166">
        <v>206</v>
      </c>
      <c r="CA220" s="166">
        <v>206</v>
      </c>
      <c r="CC220" s="753"/>
      <c r="CE220" s="166">
        <v>206</v>
      </c>
      <c r="CF220" s="166"/>
      <c r="CJ220" s="886"/>
      <c r="CK220" s="1"/>
      <c r="CO220" s="16"/>
    </row>
    <row r="221" spans="1:93" x14ac:dyDescent="0.3">
      <c r="A221" s="11">
        <v>161</v>
      </c>
      <c r="B221" s="3" t="s">
        <v>2</v>
      </c>
      <c r="C221" s="37">
        <v>16105</v>
      </c>
      <c r="D221" s="37">
        <v>53424</v>
      </c>
      <c r="E221" s="49" t="s">
        <v>118</v>
      </c>
      <c r="F221" s="3" t="s">
        <v>2</v>
      </c>
      <c r="G221" s="3" t="s">
        <v>298</v>
      </c>
      <c r="H221" s="26">
        <v>401</v>
      </c>
      <c r="I221" s="244"/>
      <c r="J221" s="16">
        <f t="shared" si="113"/>
        <v>401</v>
      </c>
      <c r="K221" s="122">
        <f t="shared" si="114"/>
        <v>0</v>
      </c>
      <c r="M221" s="117">
        <v>401</v>
      </c>
      <c r="N221" s="117">
        <v>401</v>
      </c>
      <c r="P221" s="259"/>
      <c r="R221" s="26">
        <v>401</v>
      </c>
      <c r="S221" s="26">
        <v>220</v>
      </c>
      <c r="U221" s="26">
        <v>401</v>
      </c>
      <c r="V221" s="244">
        <v>0</v>
      </c>
      <c r="W221" s="16">
        <f t="shared" si="115"/>
        <v>401</v>
      </c>
      <c r="X221" s="122">
        <f t="shared" si="116"/>
        <v>0</v>
      </c>
      <c r="Z221" s="117">
        <v>401</v>
      </c>
      <c r="AA221" s="117">
        <v>401</v>
      </c>
      <c r="AC221" s="259"/>
      <c r="AE221" s="26">
        <v>401</v>
      </c>
      <c r="AF221" s="200">
        <v>118</v>
      </c>
      <c r="AH221" s="26">
        <v>401</v>
      </c>
      <c r="AI221" s="244"/>
      <c r="AJ221" s="16">
        <f t="shared" si="117"/>
        <v>401</v>
      </c>
      <c r="AK221" s="122">
        <f t="shared" si="118"/>
        <v>0</v>
      </c>
      <c r="AM221" s="117">
        <v>401</v>
      </c>
      <c r="AN221" s="117">
        <v>401</v>
      </c>
      <c r="AP221" s="259"/>
      <c r="AR221" s="26">
        <v>401</v>
      </c>
      <c r="AS221" s="26">
        <v>312</v>
      </c>
      <c r="AU221" s="26">
        <f t="shared" si="119"/>
        <v>401</v>
      </c>
      <c r="AV221" s="244"/>
      <c r="AW221" s="16">
        <f t="shared" si="120"/>
        <v>401</v>
      </c>
      <c r="AX221" s="122">
        <f t="shared" si="121"/>
        <v>0</v>
      </c>
      <c r="AZ221" s="117">
        <v>401</v>
      </c>
      <c r="BA221" s="117">
        <v>401</v>
      </c>
      <c r="BC221" s="259"/>
      <c r="BE221" s="26">
        <v>401</v>
      </c>
      <c r="BF221" s="26">
        <v>160</v>
      </c>
      <c r="BH221" s="26">
        <v>401</v>
      </c>
      <c r="BI221" s="244"/>
      <c r="BJ221" s="16">
        <f t="shared" si="111"/>
        <v>401</v>
      </c>
      <c r="BK221" s="122">
        <f t="shared" si="122"/>
        <v>0</v>
      </c>
      <c r="BM221" s="117">
        <v>401</v>
      </c>
      <c r="BN221" s="117">
        <v>401</v>
      </c>
      <c r="BP221" s="259"/>
      <c r="BR221" s="117">
        <v>401</v>
      </c>
      <c r="BS221" s="26"/>
      <c r="BU221" s="26">
        <v>401</v>
      </c>
      <c r="BV221" s="244"/>
      <c r="BW221" s="576">
        <f t="shared" si="112"/>
        <v>401</v>
      </c>
      <c r="BX221" s="577">
        <f t="shared" si="123"/>
        <v>0</v>
      </c>
      <c r="BZ221" s="166">
        <v>401</v>
      </c>
      <c r="CA221" s="166">
        <v>401</v>
      </c>
      <c r="CC221" s="753"/>
      <c r="CE221" s="166">
        <v>401</v>
      </c>
      <c r="CF221" s="166"/>
      <c r="CJ221" s="886"/>
      <c r="CK221" s="1"/>
      <c r="CO221" s="16"/>
    </row>
    <row r="222" spans="1:93" x14ac:dyDescent="0.3">
      <c r="A222" s="11">
        <v>161</v>
      </c>
      <c r="B222" s="3" t="s">
        <v>2</v>
      </c>
      <c r="C222" s="37">
        <v>16105</v>
      </c>
      <c r="D222" s="37">
        <v>53430</v>
      </c>
      <c r="E222" s="49" t="s">
        <v>118</v>
      </c>
      <c r="F222" s="3" t="s">
        <v>2</v>
      </c>
      <c r="G222" s="3" t="s">
        <v>299</v>
      </c>
      <c r="H222" s="26">
        <v>1545</v>
      </c>
      <c r="I222" s="244"/>
      <c r="J222" s="16">
        <f t="shared" si="113"/>
        <v>1545</v>
      </c>
      <c r="K222" s="122">
        <f t="shared" si="114"/>
        <v>0</v>
      </c>
      <c r="M222" s="117">
        <v>1545</v>
      </c>
      <c r="N222" s="117">
        <v>1545</v>
      </c>
      <c r="P222" s="259"/>
      <c r="R222" s="26">
        <v>1545</v>
      </c>
      <c r="S222" s="26">
        <v>1526.92</v>
      </c>
      <c r="U222" s="26">
        <v>1545</v>
      </c>
      <c r="V222" s="244">
        <v>0</v>
      </c>
      <c r="W222" s="16">
        <f t="shared" si="115"/>
        <v>1545</v>
      </c>
      <c r="X222" s="122">
        <f t="shared" si="116"/>
        <v>0</v>
      </c>
      <c r="Z222" s="117">
        <v>1545</v>
      </c>
      <c r="AA222" s="117">
        <v>1545</v>
      </c>
      <c r="AC222" s="259"/>
      <c r="AE222" s="26">
        <v>1545</v>
      </c>
      <c r="AF222" s="200">
        <v>1541.59</v>
      </c>
      <c r="AH222" s="26">
        <v>1545</v>
      </c>
      <c r="AI222" s="244"/>
      <c r="AJ222" s="16">
        <f t="shared" si="117"/>
        <v>1545</v>
      </c>
      <c r="AK222" s="122">
        <f t="shared" si="118"/>
        <v>0</v>
      </c>
      <c r="AM222" s="117">
        <v>1545</v>
      </c>
      <c r="AN222" s="117">
        <v>1545</v>
      </c>
      <c r="AP222" s="259"/>
      <c r="AR222" s="26">
        <v>1545</v>
      </c>
      <c r="AS222" s="26">
        <v>2221.9</v>
      </c>
      <c r="AU222" s="26">
        <f t="shared" si="119"/>
        <v>1545</v>
      </c>
      <c r="AV222" s="244"/>
      <c r="AW222" s="16">
        <f t="shared" si="120"/>
        <v>1545</v>
      </c>
      <c r="AX222" s="122">
        <f t="shared" si="121"/>
        <v>0</v>
      </c>
      <c r="AZ222" s="117">
        <v>1545</v>
      </c>
      <c r="BA222" s="117">
        <v>1545</v>
      </c>
      <c r="BC222" s="259"/>
      <c r="BE222" s="26">
        <v>1545</v>
      </c>
      <c r="BF222" s="26">
        <v>2171.9</v>
      </c>
      <c r="BH222" s="26">
        <v>1545</v>
      </c>
      <c r="BI222" s="403">
        <v>500</v>
      </c>
      <c r="BJ222" s="16">
        <f t="shared" si="111"/>
        <v>2045</v>
      </c>
      <c r="BK222" s="122">
        <f t="shared" si="122"/>
        <v>0.32362459546925565</v>
      </c>
      <c r="BM222" s="117">
        <v>2045</v>
      </c>
      <c r="BN222" s="117">
        <v>2045</v>
      </c>
      <c r="BP222" s="399" t="s">
        <v>1120</v>
      </c>
      <c r="BR222" s="117">
        <v>2045</v>
      </c>
      <c r="BS222" s="26">
        <v>301.27</v>
      </c>
      <c r="BU222" s="26">
        <v>2045</v>
      </c>
      <c r="BV222" s="244"/>
      <c r="BW222" s="576">
        <f t="shared" si="112"/>
        <v>2045</v>
      </c>
      <c r="BX222" s="577">
        <f t="shared" si="123"/>
        <v>0</v>
      </c>
      <c r="BZ222" s="166">
        <v>2045</v>
      </c>
      <c r="CA222" s="166">
        <v>2045</v>
      </c>
      <c r="CC222" s="754"/>
      <c r="CE222" s="166">
        <v>2045</v>
      </c>
      <c r="CF222" s="166"/>
      <c r="CJ222" s="886"/>
      <c r="CK222" s="1"/>
      <c r="CO222" s="16"/>
    </row>
    <row r="223" spans="1:93" x14ac:dyDescent="0.3">
      <c r="A223" s="11">
        <v>161</v>
      </c>
      <c r="B223" s="3" t="s">
        <v>2</v>
      </c>
      <c r="C223" s="37">
        <v>16105</v>
      </c>
      <c r="D223" s="37">
        <v>53800</v>
      </c>
      <c r="E223" s="49" t="s">
        <v>118</v>
      </c>
      <c r="F223" s="3" t="s">
        <v>2</v>
      </c>
      <c r="G223" s="3" t="s">
        <v>300</v>
      </c>
      <c r="H223" s="26"/>
      <c r="I223" s="244"/>
      <c r="J223" s="16">
        <f t="shared" si="113"/>
        <v>0</v>
      </c>
      <c r="K223" s="122" t="str">
        <f t="shared" si="114"/>
        <v xml:space="preserve"> </v>
      </c>
      <c r="M223" s="117">
        <v>1030</v>
      </c>
      <c r="N223" s="117">
        <v>1030</v>
      </c>
      <c r="P223" s="259"/>
      <c r="R223" s="26">
        <v>1030</v>
      </c>
      <c r="S223" s="26">
        <v>0</v>
      </c>
      <c r="U223" s="26">
        <v>1030</v>
      </c>
      <c r="V223" s="244">
        <v>0</v>
      </c>
      <c r="W223" s="16">
        <f t="shared" si="115"/>
        <v>1030</v>
      </c>
      <c r="X223" s="122">
        <f t="shared" si="116"/>
        <v>0</v>
      </c>
      <c r="Z223" s="117">
        <v>1030</v>
      </c>
      <c r="AA223" s="117">
        <v>1030</v>
      </c>
      <c r="AC223" s="259"/>
      <c r="AE223" s="26">
        <v>1030</v>
      </c>
      <c r="AF223" s="200">
        <v>0</v>
      </c>
      <c r="AH223" s="26">
        <v>1030</v>
      </c>
      <c r="AI223" s="244"/>
      <c r="AJ223" s="16">
        <f t="shared" si="117"/>
        <v>1030</v>
      </c>
      <c r="AK223" s="122">
        <f t="shared" si="118"/>
        <v>0</v>
      </c>
      <c r="AM223" s="117">
        <v>1030</v>
      </c>
      <c r="AN223" s="117">
        <v>1030</v>
      </c>
      <c r="AP223" s="259"/>
      <c r="AR223" s="26">
        <v>1030</v>
      </c>
      <c r="AS223" s="26">
        <v>180.2</v>
      </c>
      <c r="AU223" s="26">
        <f t="shared" si="119"/>
        <v>1030</v>
      </c>
      <c r="AV223" s="244"/>
      <c r="AW223" s="16">
        <f t="shared" si="120"/>
        <v>1030</v>
      </c>
      <c r="AX223" s="122">
        <f t="shared" si="121"/>
        <v>0</v>
      </c>
      <c r="AZ223" s="117">
        <v>1030</v>
      </c>
      <c r="BA223" s="117">
        <v>1030</v>
      </c>
      <c r="BC223" s="259"/>
      <c r="BE223" s="26">
        <v>1030</v>
      </c>
      <c r="BF223" s="26"/>
      <c r="BH223" s="26">
        <v>1030</v>
      </c>
      <c r="BI223" s="403">
        <v>-500</v>
      </c>
      <c r="BJ223" s="16">
        <f t="shared" si="111"/>
        <v>530</v>
      </c>
      <c r="BK223" s="122">
        <f t="shared" si="122"/>
        <v>-0.4854368932038835</v>
      </c>
      <c r="BM223" s="117">
        <v>530</v>
      </c>
      <c r="BN223" s="117">
        <v>530</v>
      </c>
      <c r="BP223" s="399" t="s">
        <v>1120</v>
      </c>
      <c r="BR223" s="117">
        <v>530</v>
      </c>
      <c r="BS223" s="26"/>
      <c r="BU223" s="26">
        <v>530</v>
      </c>
      <c r="BV223" s="244"/>
      <c r="BW223" s="576">
        <f t="shared" si="112"/>
        <v>530</v>
      </c>
      <c r="BX223" s="577">
        <f t="shared" si="123"/>
        <v>0</v>
      </c>
      <c r="BZ223" s="166">
        <v>530</v>
      </c>
      <c r="CA223" s="166">
        <v>530</v>
      </c>
      <c r="CC223" s="754"/>
      <c r="CE223" s="166">
        <v>530</v>
      </c>
      <c r="CF223" s="166"/>
      <c r="CJ223" s="886"/>
      <c r="CK223" s="1"/>
      <c r="CO223" s="16"/>
    </row>
    <row r="224" spans="1:93" x14ac:dyDescent="0.3">
      <c r="A224" s="11">
        <v>161</v>
      </c>
      <c r="B224" s="3" t="s">
        <v>2</v>
      </c>
      <c r="C224" s="37">
        <v>16105</v>
      </c>
      <c r="D224" s="37">
        <v>53801</v>
      </c>
      <c r="E224" s="49" t="s">
        <v>118</v>
      </c>
      <c r="F224" s="3" t="s">
        <v>2</v>
      </c>
      <c r="G224" s="3" t="s">
        <v>1285</v>
      </c>
      <c r="H224" s="26">
        <v>1030</v>
      </c>
      <c r="I224" s="250"/>
      <c r="J224" s="16">
        <f t="shared" si="113"/>
        <v>1030</v>
      </c>
      <c r="K224" s="122">
        <f t="shared" si="114"/>
        <v>0</v>
      </c>
      <c r="M224" s="117"/>
      <c r="N224" s="117"/>
      <c r="P224" s="259"/>
      <c r="R224" s="26"/>
      <c r="S224" s="26"/>
      <c r="U224" s="26"/>
      <c r="V224" s="250">
        <v>0</v>
      </c>
      <c r="W224" s="16">
        <f t="shared" si="115"/>
        <v>0</v>
      </c>
      <c r="X224" s="122" t="str">
        <f t="shared" si="116"/>
        <v xml:space="preserve"> </v>
      </c>
      <c r="Z224" s="117">
        <v>0</v>
      </c>
      <c r="AA224" s="117">
        <v>0</v>
      </c>
      <c r="AC224" s="259"/>
      <c r="AE224" s="26">
        <v>0</v>
      </c>
      <c r="AF224" s="200">
        <v>0</v>
      </c>
      <c r="AH224" s="26">
        <v>0</v>
      </c>
      <c r="AI224" s="250"/>
      <c r="AJ224" s="16">
        <f t="shared" si="117"/>
        <v>0</v>
      </c>
      <c r="AK224" s="122" t="str">
        <f t="shared" si="118"/>
        <v xml:space="preserve"> </v>
      </c>
      <c r="AM224" s="117">
        <v>0</v>
      </c>
      <c r="AN224" s="117">
        <v>0</v>
      </c>
      <c r="AP224" s="259"/>
      <c r="AR224" s="26">
        <v>0</v>
      </c>
      <c r="AS224" s="26">
        <v>0</v>
      </c>
      <c r="AU224" s="26">
        <f t="shared" si="119"/>
        <v>0</v>
      </c>
      <c r="AV224" s="250"/>
      <c r="AW224" s="16">
        <f t="shared" si="120"/>
        <v>0</v>
      </c>
      <c r="AX224" s="122" t="str">
        <f t="shared" si="121"/>
        <v xml:space="preserve"> </v>
      </c>
      <c r="AZ224" s="117">
        <v>0</v>
      </c>
      <c r="BA224" s="117">
        <v>0</v>
      </c>
      <c r="BC224" s="259"/>
      <c r="BE224" s="26">
        <v>0</v>
      </c>
      <c r="BF224" s="26"/>
      <c r="BH224" s="26">
        <v>0</v>
      </c>
      <c r="BI224" s="250"/>
      <c r="BJ224" s="16">
        <f t="shared" si="111"/>
        <v>0</v>
      </c>
      <c r="BK224" s="122" t="str">
        <f t="shared" si="122"/>
        <v xml:space="preserve"> </v>
      </c>
      <c r="BM224" s="117">
        <v>0</v>
      </c>
      <c r="BN224" s="117">
        <v>0</v>
      </c>
      <c r="BP224" s="259"/>
      <c r="BR224" s="117">
        <v>0</v>
      </c>
      <c r="BS224" s="26"/>
      <c r="BU224" s="26">
        <v>0</v>
      </c>
      <c r="BV224" s="244">
        <v>2372</v>
      </c>
      <c r="BW224" s="576">
        <f t="shared" si="112"/>
        <v>2372</v>
      </c>
      <c r="BX224" s="577" t="str">
        <f t="shared" si="123"/>
        <v xml:space="preserve"> </v>
      </c>
      <c r="BZ224" s="166">
        <v>2372</v>
      </c>
      <c r="CA224" s="166">
        <v>2372</v>
      </c>
      <c r="CC224" s="755" t="s">
        <v>1600</v>
      </c>
      <c r="CE224" s="166">
        <v>2372</v>
      </c>
      <c r="CF224" s="166"/>
      <c r="CJ224" s="886"/>
      <c r="CK224" s="1"/>
      <c r="CO224" s="16"/>
    </row>
    <row r="225" spans="1:93" x14ac:dyDescent="0.3">
      <c r="A225" s="11">
        <v>161</v>
      </c>
      <c r="B225" s="3" t="s">
        <v>2</v>
      </c>
      <c r="C225" s="37">
        <v>16105</v>
      </c>
      <c r="D225" s="37">
        <v>53840</v>
      </c>
      <c r="E225" s="49" t="s">
        <v>118</v>
      </c>
      <c r="F225" s="3" t="s">
        <v>2</v>
      </c>
      <c r="G225" s="3" t="s">
        <v>301</v>
      </c>
      <c r="H225" s="26">
        <v>318</v>
      </c>
      <c r="I225" s="250">
        <v>2000</v>
      </c>
      <c r="J225" s="16">
        <f t="shared" si="113"/>
        <v>2318</v>
      </c>
      <c r="K225" s="122">
        <f t="shared" si="114"/>
        <v>6.2893081761006293</v>
      </c>
      <c r="M225" s="117">
        <v>2318</v>
      </c>
      <c r="N225" s="117">
        <v>2318</v>
      </c>
      <c r="P225" s="259" t="s">
        <v>531</v>
      </c>
      <c r="R225" s="26">
        <v>2318</v>
      </c>
      <c r="S225" s="26">
        <v>1168.02</v>
      </c>
      <c r="U225" s="26">
        <v>2318</v>
      </c>
      <c r="V225" s="250">
        <v>0</v>
      </c>
      <c r="W225" s="16">
        <f t="shared" si="115"/>
        <v>2318</v>
      </c>
      <c r="X225" s="122">
        <f t="shared" si="116"/>
        <v>0</v>
      </c>
      <c r="Z225" s="117">
        <v>2318</v>
      </c>
      <c r="AA225" s="117">
        <v>2318</v>
      </c>
      <c r="AC225" s="259"/>
      <c r="AE225" s="26">
        <v>2318</v>
      </c>
      <c r="AF225" s="200">
        <v>1021.35</v>
      </c>
      <c r="AH225" s="26">
        <v>2318</v>
      </c>
      <c r="AI225" s="250"/>
      <c r="AJ225" s="16">
        <f t="shared" si="117"/>
        <v>2318</v>
      </c>
      <c r="AK225" s="122">
        <f t="shared" si="118"/>
        <v>0</v>
      </c>
      <c r="AM225" s="117">
        <v>2318</v>
      </c>
      <c r="AN225" s="117">
        <v>2318</v>
      </c>
      <c r="AP225" s="259"/>
      <c r="AR225" s="26">
        <v>2318</v>
      </c>
      <c r="AS225" s="26">
        <v>2101.73</v>
      </c>
      <c r="AU225" s="26">
        <f t="shared" si="119"/>
        <v>2318</v>
      </c>
      <c r="AV225" s="250"/>
      <c r="AW225" s="16">
        <f t="shared" si="120"/>
        <v>2318</v>
      </c>
      <c r="AX225" s="122">
        <f t="shared" si="121"/>
        <v>0</v>
      </c>
      <c r="AZ225" s="117">
        <v>2318</v>
      </c>
      <c r="BA225" s="117">
        <v>2318</v>
      </c>
      <c r="BC225" s="259"/>
      <c r="BE225" s="26">
        <v>2318</v>
      </c>
      <c r="BF225" s="26">
        <v>2211.6</v>
      </c>
      <c r="BH225" s="26">
        <v>2318</v>
      </c>
      <c r="BI225" s="250"/>
      <c r="BJ225" s="16">
        <f t="shared" si="111"/>
        <v>2318</v>
      </c>
      <c r="BK225" s="122">
        <f t="shared" si="122"/>
        <v>0</v>
      </c>
      <c r="BM225" s="117">
        <v>2318</v>
      </c>
      <c r="BN225" s="117">
        <v>2318</v>
      </c>
      <c r="BP225" s="259"/>
      <c r="BR225" s="117">
        <v>2318</v>
      </c>
      <c r="BS225" s="26">
        <v>1160.3900000000001</v>
      </c>
      <c r="BU225" s="26">
        <v>2318</v>
      </c>
      <c r="BV225" s="533"/>
      <c r="BW225" s="576">
        <f t="shared" si="112"/>
        <v>2318</v>
      </c>
      <c r="BX225" s="577">
        <f t="shared" si="123"/>
        <v>0</v>
      </c>
      <c r="BZ225" s="166">
        <v>2318</v>
      </c>
      <c r="CA225" s="166">
        <v>2318</v>
      </c>
      <c r="CC225" s="753"/>
      <c r="CE225" s="166">
        <v>2318</v>
      </c>
      <c r="CF225" s="166"/>
      <c r="CJ225" s="886"/>
      <c r="CK225" s="1"/>
      <c r="CO225" s="16"/>
    </row>
    <row r="226" spans="1:93" x14ac:dyDescent="0.3">
      <c r="A226" s="11">
        <v>161</v>
      </c>
      <c r="B226" s="3" t="s">
        <v>2</v>
      </c>
      <c r="C226" s="37">
        <v>16105</v>
      </c>
      <c r="D226" s="37">
        <v>54200</v>
      </c>
      <c r="E226" s="49" t="s">
        <v>118</v>
      </c>
      <c r="F226" s="3" t="s">
        <v>2</v>
      </c>
      <c r="G226" s="3" t="s">
        <v>302</v>
      </c>
      <c r="H226" s="26">
        <v>1130</v>
      </c>
      <c r="I226" s="244"/>
      <c r="J226" s="16">
        <f t="shared" si="113"/>
        <v>1130</v>
      </c>
      <c r="K226" s="122">
        <f t="shared" si="114"/>
        <v>0</v>
      </c>
      <c r="M226" s="117">
        <v>1130</v>
      </c>
      <c r="N226" s="117">
        <v>1130</v>
      </c>
      <c r="P226" s="259"/>
      <c r="R226" s="26">
        <v>1130</v>
      </c>
      <c r="S226" s="26">
        <v>1125.0899999999999</v>
      </c>
      <c r="U226" s="26">
        <v>1130</v>
      </c>
      <c r="V226" s="244">
        <v>0</v>
      </c>
      <c r="W226" s="16">
        <f t="shared" si="115"/>
        <v>1130</v>
      </c>
      <c r="X226" s="122">
        <f t="shared" si="116"/>
        <v>0</v>
      </c>
      <c r="Z226" s="117">
        <v>1130</v>
      </c>
      <c r="AA226" s="117">
        <v>1130</v>
      </c>
      <c r="AC226" s="259"/>
      <c r="AE226" s="26">
        <v>1130</v>
      </c>
      <c r="AF226" s="200">
        <v>769.95</v>
      </c>
      <c r="AH226" s="26">
        <v>1130</v>
      </c>
      <c r="AI226" s="244"/>
      <c r="AJ226" s="16">
        <f t="shared" si="117"/>
        <v>1130</v>
      </c>
      <c r="AK226" s="122">
        <f t="shared" si="118"/>
        <v>0</v>
      </c>
      <c r="AM226" s="117">
        <v>1130</v>
      </c>
      <c r="AN226" s="117">
        <v>1130</v>
      </c>
      <c r="AP226" s="259"/>
      <c r="AR226" s="26">
        <v>1130</v>
      </c>
      <c r="AS226" s="26">
        <v>182.29</v>
      </c>
      <c r="AU226" s="26">
        <f t="shared" si="119"/>
        <v>1130</v>
      </c>
      <c r="AV226" s="244"/>
      <c r="AW226" s="16">
        <f t="shared" si="120"/>
        <v>1130</v>
      </c>
      <c r="AX226" s="122">
        <f t="shared" si="121"/>
        <v>0</v>
      </c>
      <c r="AZ226" s="117">
        <v>1130</v>
      </c>
      <c r="BA226" s="117">
        <v>1130</v>
      </c>
      <c r="BC226" s="259"/>
      <c r="BE226" s="26">
        <v>1130</v>
      </c>
      <c r="BF226" s="26">
        <v>182.11</v>
      </c>
      <c r="BH226" s="26">
        <v>1130</v>
      </c>
      <c r="BI226" s="244"/>
      <c r="BJ226" s="16">
        <f t="shared" si="111"/>
        <v>1130</v>
      </c>
      <c r="BK226" s="122">
        <f t="shared" si="122"/>
        <v>0</v>
      </c>
      <c r="BM226" s="117">
        <v>1130</v>
      </c>
      <c r="BN226" s="117">
        <v>1130</v>
      </c>
      <c r="BP226" s="259"/>
      <c r="BR226" s="117">
        <v>1130</v>
      </c>
      <c r="BS226" s="26">
        <v>50.55</v>
      </c>
      <c r="BU226" s="26">
        <v>1130</v>
      </c>
      <c r="BV226" s="244"/>
      <c r="BW226" s="576">
        <f t="shared" si="112"/>
        <v>1130</v>
      </c>
      <c r="BX226" s="577">
        <f t="shared" si="123"/>
        <v>0</v>
      </c>
      <c r="BZ226" s="166">
        <v>1130</v>
      </c>
      <c r="CA226" s="166">
        <v>1130</v>
      </c>
      <c r="CC226" s="753"/>
      <c r="CE226" s="166">
        <v>1130</v>
      </c>
      <c r="CF226" s="166"/>
      <c r="CJ226" s="886"/>
      <c r="CK226" s="1"/>
      <c r="CO226" s="16"/>
    </row>
    <row r="227" spans="1:93" x14ac:dyDescent="0.3">
      <c r="A227" s="11">
        <v>161</v>
      </c>
      <c r="B227" s="3" t="s">
        <v>2</v>
      </c>
      <c r="C227" s="37">
        <v>16105</v>
      </c>
      <c r="D227" s="37">
        <v>54215</v>
      </c>
      <c r="E227" s="49" t="s">
        <v>118</v>
      </c>
      <c r="F227" s="3" t="s">
        <v>2</v>
      </c>
      <c r="G227" s="3" t="s">
        <v>303</v>
      </c>
      <c r="H227" s="26">
        <v>330</v>
      </c>
      <c r="I227" s="244"/>
      <c r="J227" s="16">
        <f t="shared" si="113"/>
        <v>330</v>
      </c>
      <c r="K227" s="122">
        <f t="shared" si="114"/>
        <v>0</v>
      </c>
      <c r="M227" s="117">
        <v>330</v>
      </c>
      <c r="N227" s="117">
        <v>330</v>
      </c>
      <c r="P227" s="259"/>
      <c r="R227" s="26">
        <v>330</v>
      </c>
      <c r="S227" s="26">
        <v>250.64</v>
      </c>
      <c r="U227" s="26">
        <v>330</v>
      </c>
      <c r="V227" s="244">
        <v>0</v>
      </c>
      <c r="W227" s="16">
        <f t="shared" si="115"/>
        <v>330</v>
      </c>
      <c r="X227" s="122">
        <f t="shared" si="116"/>
        <v>0</v>
      </c>
      <c r="Z227" s="117">
        <v>330</v>
      </c>
      <c r="AA227" s="117">
        <v>330</v>
      </c>
      <c r="AC227" s="259"/>
      <c r="AE227" s="26">
        <v>330</v>
      </c>
      <c r="AF227" s="200">
        <v>295.18</v>
      </c>
      <c r="AH227" s="26">
        <v>330</v>
      </c>
      <c r="AI227" s="244"/>
      <c r="AJ227" s="16">
        <f t="shared" si="117"/>
        <v>330</v>
      </c>
      <c r="AK227" s="122">
        <f t="shared" si="118"/>
        <v>0</v>
      </c>
      <c r="AM227" s="117">
        <v>330</v>
      </c>
      <c r="AN227" s="117">
        <v>330</v>
      </c>
      <c r="AP227" s="259"/>
      <c r="AR227" s="26">
        <v>330</v>
      </c>
      <c r="AS227" s="26">
        <v>234.76</v>
      </c>
      <c r="AU227" s="26">
        <f t="shared" si="119"/>
        <v>330</v>
      </c>
      <c r="AV227" s="244"/>
      <c r="AW227" s="16">
        <f t="shared" si="120"/>
        <v>330</v>
      </c>
      <c r="AX227" s="122">
        <f t="shared" si="121"/>
        <v>0</v>
      </c>
      <c r="AZ227" s="117">
        <v>330</v>
      </c>
      <c r="BA227" s="117">
        <v>330</v>
      </c>
      <c r="BC227" s="259"/>
      <c r="BE227" s="26">
        <v>330</v>
      </c>
      <c r="BF227" s="26">
        <v>257.24</v>
      </c>
      <c r="BH227" s="26">
        <v>330</v>
      </c>
      <c r="BI227" s="244"/>
      <c r="BJ227" s="16">
        <f t="shared" si="111"/>
        <v>330</v>
      </c>
      <c r="BK227" s="122">
        <f t="shared" si="122"/>
        <v>0</v>
      </c>
      <c r="BM227" s="117">
        <v>330</v>
      </c>
      <c r="BN227" s="117">
        <v>330</v>
      </c>
      <c r="BP227" s="259"/>
      <c r="BR227" s="117">
        <v>330</v>
      </c>
      <c r="BS227" s="26">
        <v>267.64999999999998</v>
      </c>
      <c r="BU227" s="26">
        <v>330</v>
      </c>
      <c r="BV227" s="244"/>
      <c r="BW227" s="576">
        <f t="shared" si="112"/>
        <v>330</v>
      </c>
      <c r="BX227" s="577">
        <f t="shared" si="123"/>
        <v>0</v>
      </c>
      <c r="BZ227" s="166">
        <v>330</v>
      </c>
      <c r="CA227" s="166">
        <v>330</v>
      </c>
      <c r="CC227" s="753"/>
      <c r="CE227" s="166">
        <v>330</v>
      </c>
      <c r="CF227" s="166"/>
      <c r="CJ227" s="886"/>
      <c r="CK227" s="1"/>
      <c r="CO227" s="16"/>
    </row>
    <row r="228" spans="1:93" x14ac:dyDescent="0.3">
      <c r="A228" s="11">
        <v>161</v>
      </c>
      <c r="B228" s="3" t="s">
        <v>2</v>
      </c>
      <c r="C228" s="37">
        <v>16105</v>
      </c>
      <c r="D228" s="37">
        <v>54224</v>
      </c>
      <c r="E228" s="49" t="s">
        <v>118</v>
      </c>
      <c r="F228" s="3" t="s">
        <v>2</v>
      </c>
      <c r="G228" s="3" t="s">
        <v>304</v>
      </c>
      <c r="H228" s="26">
        <v>6350</v>
      </c>
      <c r="I228" s="244">
        <v>-2550</v>
      </c>
      <c r="J228" s="16">
        <f t="shared" si="113"/>
        <v>3800</v>
      </c>
      <c r="K228" s="122">
        <f t="shared" si="114"/>
        <v>-0.40157480314960631</v>
      </c>
      <c r="M228" s="117">
        <v>3800</v>
      </c>
      <c r="N228" s="117">
        <v>3800</v>
      </c>
      <c r="P228" s="149" t="s">
        <v>529</v>
      </c>
      <c r="R228" s="26">
        <v>3800</v>
      </c>
      <c r="S228" s="26">
        <v>3491.5</v>
      </c>
      <c r="U228" s="26">
        <v>3800</v>
      </c>
      <c r="V228" s="244">
        <v>0</v>
      </c>
      <c r="W228" s="16">
        <f t="shared" si="115"/>
        <v>3800</v>
      </c>
      <c r="X228" s="122">
        <f t="shared" si="116"/>
        <v>0</v>
      </c>
      <c r="Z228" s="117">
        <v>3800</v>
      </c>
      <c r="AA228" s="117">
        <f>3800+2750</f>
        <v>6550</v>
      </c>
      <c r="AC228" s="259" t="s">
        <v>740</v>
      </c>
      <c r="AE228" s="26">
        <f>3800+2750</f>
        <v>6550</v>
      </c>
      <c r="AF228" s="200">
        <v>7494.86</v>
      </c>
      <c r="AH228" s="26">
        <v>6550</v>
      </c>
      <c r="AI228" s="244">
        <v>-2550</v>
      </c>
      <c r="AJ228" s="16">
        <f t="shared" si="117"/>
        <v>4000</v>
      </c>
      <c r="AK228" s="122">
        <f t="shared" si="118"/>
        <v>-0.38931297709923662</v>
      </c>
      <c r="AM228" s="117">
        <v>4000</v>
      </c>
      <c r="AN228" s="117">
        <v>4000</v>
      </c>
      <c r="AO228" s="178"/>
      <c r="AP228" s="206" t="s">
        <v>812</v>
      </c>
      <c r="AR228" s="26">
        <v>4000</v>
      </c>
      <c r="AS228" s="26">
        <v>5795.62</v>
      </c>
      <c r="AU228" s="26">
        <f t="shared" si="119"/>
        <v>4000</v>
      </c>
      <c r="AV228" s="244"/>
      <c r="AW228" s="16">
        <f t="shared" si="120"/>
        <v>4000</v>
      </c>
      <c r="AX228" s="122">
        <f t="shared" si="121"/>
        <v>0</v>
      </c>
      <c r="AZ228" s="117">
        <v>4000</v>
      </c>
      <c r="BA228" s="117">
        <f>4000+3062</f>
        <v>7062</v>
      </c>
      <c r="BB228" s="178"/>
      <c r="BC228" s="266" t="s">
        <v>987</v>
      </c>
      <c r="BE228" s="26">
        <f>4000+3062</f>
        <v>7062</v>
      </c>
      <c r="BF228" s="26">
        <v>5685.96</v>
      </c>
      <c r="BH228" s="26">
        <f>4000+3062</f>
        <v>7062</v>
      </c>
      <c r="BI228" s="244">
        <v>-3112</v>
      </c>
      <c r="BJ228" s="16">
        <f t="shared" si="111"/>
        <v>3950</v>
      </c>
      <c r="BK228" s="122">
        <f t="shared" si="122"/>
        <v>-0.44066836590201075</v>
      </c>
      <c r="BM228" s="117">
        <v>3950</v>
      </c>
      <c r="BN228" s="117">
        <v>3950</v>
      </c>
      <c r="BO228" s="178"/>
      <c r="BP228" s="259" t="s">
        <v>1130</v>
      </c>
      <c r="BR228" s="117">
        <v>3950</v>
      </c>
      <c r="BS228" s="26">
        <v>1015.93</v>
      </c>
      <c r="BU228" s="26">
        <v>3950</v>
      </c>
      <c r="BV228" s="244"/>
      <c r="BW228" s="576">
        <f t="shared" si="112"/>
        <v>3950</v>
      </c>
      <c r="BX228" s="577">
        <f t="shared" si="123"/>
        <v>0</v>
      </c>
      <c r="BZ228" s="166">
        <v>3950</v>
      </c>
      <c r="CA228" s="166">
        <v>6470</v>
      </c>
      <c r="CC228" s="430" t="s">
        <v>1486</v>
      </c>
      <c r="CE228" s="247">
        <f>3950+2520</f>
        <v>6470</v>
      </c>
      <c r="CF228" s="166"/>
      <c r="CH228" s="813">
        <v>2520</v>
      </c>
      <c r="CJ228" s="886"/>
      <c r="CK228" s="1"/>
      <c r="CO228" s="16"/>
    </row>
    <row r="229" spans="1:93" x14ac:dyDescent="0.3">
      <c r="A229" s="11">
        <v>161</v>
      </c>
      <c r="B229" s="3" t="s">
        <v>2</v>
      </c>
      <c r="C229" s="37">
        <v>16105</v>
      </c>
      <c r="D229" s="37">
        <v>54225</v>
      </c>
      <c r="E229" s="49" t="s">
        <v>118</v>
      </c>
      <c r="F229" s="3" t="s">
        <v>2</v>
      </c>
      <c r="G229" s="3" t="s">
        <v>305</v>
      </c>
      <c r="H229" s="26">
        <v>825</v>
      </c>
      <c r="I229" s="244"/>
      <c r="J229" s="16">
        <f t="shared" si="113"/>
        <v>825</v>
      </c>
      <c r="K229" s="122">
        <f t="shared" si="114"/>
        <v>0</v>
      </c>
      <c r="M229" s="117">
        <v>825</v>
      </c>
      <c r="N229" s="117">
        <v>825</v>
      </c>
      <c r="P229" s="259"/>
      <c r="R229" s="26">
        <v>825</v>
      </c>
      <c r="S229" s="26">
        <v>1230</v>
      </c>
      <c r="U229" s="26">
        <v>825</v>
      </c>
      <c r="V229" s="244">
        <v>0</v>
      </c>
      <c r="W229" s="16">
        <f t="shared" si="115"/>
        <v>825</v>
      </c>
      <c r="X229" s="122">
        <f t="shared" si="116"/>
        <v>0</v>
      </c>
      <c r="Z229" s="117">
        <v>825</v>
      </c>
      <c r="AA229" s="117">
        <v>825</v>
      </c>
      <c r="AC229" s="259"/>
      <c r="AE229" s="26">
        <v>825</v>
      </c>
      <c r="AF229" s="200">
        <v>1290</v>
      </c>
      <c r="AH229" s="26">
        <v>825</v>
      </c>
      <c r="AI229" s="244"/>
      <c r="AJ229" s="16">
        <f t="shared" si="117"/>
        <v>825</v>
      </c>
      <c r="AK229" s="122">
        <f t="shared" si="118"/>
        <v>0</v>
      </c>
      <c r="AM229" s="117">
        <v>825</v>
      </c>
      <c r="AN229" s="117">
        <v>825</v>
      </c>
      <c r="AP229" s="259"/>
      <c r="AR229" s="26">
        <v>825</v>
      </c>
      <c r="AS229" s="26">
        <v>25.93</v>
      </c>
      <c r="AU229" s="26">
        <f t="shared" si="119"/>
        <v>825</v>
      </c>
      <c r="AV229" s="244"/>
      <c r="AW229" s="16">
        <f t="shared" si="120"/>
        <v>825</v>
      </c>
      <c r="AX229" s="122">
        <f t="shared" si="121"/>
        <v>0</v>
      </c>
      <c r="AZ229" s="117">
        <v>825</v>
      </c>
      <c r="BA229" s="117">
        <v>825</v>
      </c>
      <c r="BC229" s="259"/>
      <c r="BE229" s="26">
        <v>825</v>
      </c>
      <c r="BF229" s="26">
        <v>1200</v>
      </c>
      <c r="BH229" s="26">
        <v>825</v>
      </c>
      <c r="BI229" s="244"/>
      <c r="BJ229" s="16">
        <f t="shared" si="111"/>
        <v>825</v>
      </c>
      <c r="BK229" s="122">
        <f t="shared" si="122"/>
        <v>0</v>
      </c>
      <c r="BM229" s="117">
        <v>825</v>
      </c>
      <c r="BN229" s="117">
        <v>825</v>
      </c>
      <c r="BP229" s="259"/>
      <c r="BR229" s="117">
        <v>825</v>
      </c>
      <c r="BS229" s="26"/>
      <c r="BU229" s="26">
        <v>825</v>
      </c>
      <c r="BV229" s="244"/>
      <c r="BW229" s="576">
        <f t="shared" si="112"/>
        <v>825</v>
      </c>
      <c r="BX229" s="577">
        <f t="shared" si="123"/>
        <v>0</v>
      </c>
      <c r="BZ229" s="166">
        <v>825</v>
      </c>
      <c r="CA229" s="166">
        <v>825</v>
      </c>
      <c r="CC229" s="753"/>
      <c r="CE229" s="166">
        <v>825</v>
      </c>
      <c r="CF229" s="166"/>
      <c r="CJ229" s="886"/>
      <c r="CK229" s="1"/>
      <c r="CO229" s="16"/>
    </row>
    <row r="230" spans="1:93" x14ac:dyDescent="0.3">
      <c r="A230" s="11">
        <v>161</v>
      </c>
      <c r="B230" s="3" t="s">
        <v>2</v>
      </c>
      <c r="C230" s="37">
        <v>16105</v>
      </c>
      <c r="D230" s="37">
        <v>57100</v>
      </c>
      <c r="E230" s="49" t="s">
        <v>118</v>
      </c>
      <c r="F230" s="3" t="s">
        <v>2</v>
      </c>
      <c r="G230" s="3" t="s">
        <v>306</v>
      </c>
      <c r="H230" s="26">
        <v>1500</v>
      </c>
      <c r="I230" s="244"/>
      <c r="J230" s="16">
        <f t="shared" si="113"/>
        <v>1500</v>
      </c>
      <c r="K230" s="122">
        <f t="shared" si="114"/>
        <v>0</v>
      </c>
      <c r="M230" s="117">
        <v>1500</v>
      </c>
      <c r="N230" s="117">
        <v>1500</v>
      </c>
      <c r="P230" s="259"/>
      <c r="R230" s="26">
        <v>1500</v>
      </c>
      <c r="S230" s="26">
        <v>1586.84</v>
      </c>
      <c r="U230" s="26">
        <v>1500</v>
      </c>
      <c r="V230" s="244">
        <v>0</v>
      </c>
      <c r="W230" s="16">
        <f t="shared" si="115"/>
        <v>1500</v>
      </c>
      <c r="X230" s="122">
        <f t="shared" si="116"/>
        <v>0</v>
      </c>
      <c r="Z230" s="117">
        <v>1500</v>
      </c>
      <c r="AA230" s="117">
        <v>1500</v>
      </c>
      <c r="AC230" s="259"/>
      <c r="AE230" s="26">
        <v>1500</v>
      </c>
      <c r="AF230" s="200">
        <v>1636.04</v>
      </c>
      <c r="AH230" s="26">
        <v>1500</v>
      </c>
      <c r="AI230" s="244"/>
      <c r="AJ230" s="16">
        <f t="shared" si="117"/>
        <v>1500</v>
      </c>
      <c r="AK230" s="122">
        <f t="shared" si="118"/>
        <v>0</v>
      </c>
      <c r="AM230" s="117">
        <v>1500</v>
      </c>
      <c r="AN230" s="117">
        <v>1500</v>
      </c>
      <c r="AP230" s="259"/>
      <c r="AR230" s="26">
        <v>1500</v>
      </c>
      <c r="AS230" s="26">
        <v>577.29999999999995</v>
      </c>
      <c r="AU230" s="26">
        <f t="shared" si="119"/>
        <v>1500</v>
      </c>
      <c r="AV230" s="244"/>
      <c r="AW230" s="16">
        <f t="shared" si="120"/>
        <v>1500</v>
      </c>
      <c r="AX230" s="122">
        <f t="shared" si="121"/>
        <v>0</v>
      </c>
      <c r="AZ230" s="117">
        <v>1500</v>
      </c>
      <c r="BA230" s="117">
        <v>1500</v>
      </c>
      <c r="BC230" s="259"/>
      <c r="BE230" s="26">
        <v>1500</v>
      </c>
      <c r="BF230" s="26">
        <v>35</v>
      </c>
      <c r="BH230" s="26">
        <v>1500</v>
      </c>
      <c r="BI230" s="244"/>
      <c r="BJ230" s="16">
        <f t="shared" si="111"/>
        <v>1500</v>
      </c>
      <c r="BK230" s="122">
        <f t="shared" si="122"/>
        <v>0</v>
      </c>
      <c r="BM230" s="117">
        <v>1500</v>
      </c>
      <c r="BN230" s="117">
        <v>1500</v>
      </c>
      <c r="BP230" s="259"/>
      <c r="BR230" s="117">
        <v>1500</v>
      </c>
      <c r="BS230" s="26">
        <v>175</v>
      </c>
      <c r="BU230" s="26">
        <v>1500</v>
      </c>
      <c r="BV230" s="244"/>
      <c r="BW230" s="576">
        <f t="shared" si="112"/>
        <v>1500</v>
      </c>
      <c r="BX230" s="577">
        <f t="shared" si="123"/>
        <v>0</v>
      </c>
      <c r="BZ230" s="166">
        <v>1500</v>
      </c>
      <c r="CA230" s="166">
        <v>1500</v>
      </c>
      <c r="CC230" s="753"/>
      <c r="CE230" s="166">
        <v>1500</v>
      </c>
      <c r="CF230" s="166"/>
      <c r="CJ230" s="886"/>
      <c r="CK230" s="1"/>
      <c r="CO230" s="16"/>
    </row>
    <row r="231" spans="1:93" x14ac:dyDescent="0.3">
      <c r="A231" s="11">
        <v>161</v>
      </c>
      <c r="B231" s="3" t="s">
        <v>2</v>
      </c>
      <c r="C231" s="37">
        <v>16105</v>
      </c>
      <c r="D231" s="37">
        <v>57300</v>
      </c>
      <c r="E231" s="49" t="s">
        <v>118</v>
      </c>
      <c r="F231" s="3" t="s">
        <v>2</v>
      </c>
      <c r="G231" s="3" t="s">
        <v>307</v>
      </c>
      <c r="H231" s="26">
        <v>275</v>
      </c>
      <c r="I231" s="244">
        <v>-150</v>
      </c>
      <c r="J231" s="16">
        <f t="shared" si="113"/>
        <v>125</v>
      </c>
      <c r="K231" s="122">
        <f t="shared" si="114"/>
        <v>-0.54545454545454541</v>
      </c>
      <c r="M231" s="117">
        <v>125</v>
      </c>
      <c r="N231" s="117">
        <v>125</v>
      </c>
      <c r="P231" s="259" t="s">
        <v>530</v>
      </c>
      <c r="R231" s="26">
        <v>125</v>
      </c>
      <c r="S231" s="26">
        <v>100</v>
      </c>
      <c r="U231" s="26">
        <v>125</v>
      </c>
      <c r="V231" s="244">
        <v>0</v>
      </c>
      <c r="W231" s="16">
        <f t="shared" si="115"/>
        <v>125</v>
      </c>
      <c r="X231" s="122">
        <f t="shared" si="116"/>
        <v>0</v>
      </c>
      <c r="Z231" s="117">
        <v>125</v>
      </c>
      <c r="AA231" s="117">
        <v>125</v>
      </c>
      <c r="AC231" s="259"/>
      <c r="AE231" s="26">
        <v>125</v>
      </c>
      <c r="AF231" s="200">
        <v>160</v>
      </c>
      <c r="AH231" s="26">
        <v>125</v>
      </c>
      <c r="AI231" s="244"/>
      <c r="AJ231" s="16">
        <f t="shared" si="117"/>
        <v>125</v>
      </c>
      <c r="AK231" s="122">
        <f t="shared" si="118"/>
        <v>0</v>
      </c>
      <c r="AM231" s="117">
        <v>125</v>
      </c>
      <c r="AN231" s="117">
        <v>125</v>
      </c>
      <c r="AP231" s="259"/>
      <c r="AR231" s="26">
        <v>125</v>
      </c>
      <c r="AS231" s="26">
        <v>100</v>
      </c>
      <c r="AU231" s="26">
        <f t="shared" si="119"/>
        <v>125</v>
      </c>
      <c r="AV231" s="244"/>
      <c r="AW231" s="16">
        <f t="shared" si="120"/>
        <v>125</v>
      </c>
      <c r="AX231" s="122">
        <f t="shared" si="121"/>
        <v>0</v>
      </c>
      <c r="AZ231" s="117">
        <v>125</v>
      </c>
      <c r="BA231" s="117">
        <v>125</v>
      </c>
      <c r="BC231" s="259"/>
      <c r="BE231" s="26">
        <v>125</v>
      </c>
      <c r="BF231" s="26">
        <v>75</v>
      </c>
      <c r="BH231" s="26">
        <v>125</v>
      </c>
      <c r="BI231" s="244"/>
      <c r="BJ231" s="16">
        <f t="shared" si="111"/>
        <v>125</v>
      </c>
      <c r="BK231" s="122">
        <f t="shared" si="122"/>
        <v>0</v>
      </c>
      <c r="BM231" s="117">
        <v>125</v>
      </c>
      <c r="BN231" s="117">
        <v>125</v>
      </c>
      <c r="BP231" s="259"/>
      <c r="BR231" s="117">
        <v>125</v>
      </c>
      <c r="BS231" s="26">
        <v>100</v>
      </c>
      <c r="BU231" s="26">
        <v>125</v>
      </c>
      <c r="BV231" s="244"/>
      <c r="BW231" s="576">
        <f t="shared" si="112"/>
        <v>125</v>
      </c>
      <c r="BX231" s="577">
        <f t="shared" si="123"/>
        <v>0</v>
      </c>
      <c r="BZ231" s="166">
        <v>125</v>
      </c>
      <c r="CA231" s="166">
        <v>125</v>
      </c>
      <c r="CC231" s="753"/>
      <c r="CE231" s="166">
        <v>125</v>
      </c>
      <c r="CF231" s="166"/>
      <c r="CJ231" s="886"/>
      <c r="CK231" s="1"/>
      <c r="CO231" s="16"/>
    </row>
    <row r="232" spans="1:93" s="19" customFormat="1" x14ac:dyDescent="0.3">
      <c r="A232" s="27"/>
      <c r="B232" s="8"/>
      <c r="C232" s="42"/>
      <c r="D232" s="42"/>
      <c r="E232" s="54"/>
      <c r="F232" s="8"/>
      <c r="G232" s="8" t="s">
        <v>130</v>
      </c>
      <c r="H232" s="28">
        <f>SUM(H217:H231)</f>
        <v>14385</v>
      </c>
      <c r="I232" s="28">
        <f>SUM(I217:I231)</f>
        <v>-850</v>
      </c>
      <c r="J232" s="28">
        <f>SUM(J217:J231)</f>
        <v>13535</v>
      </c>
      <c r="K232" s="123">
        <f>IF(H232=0," ",(J232-H232)/H232)</f>
        <v>-5.908932916232186E-2</v>
      </c>
      <c r="M232" s="28">
        <f>SUM(M217:M231)</f>
        <v>13535</v>
      </c>
      <c r="N232" s="28">
        <f>SUM(N217:N231)</f>
        <v>13535</v>
      </c>
      <c r="P232" s="139">
        <f>SUM(P217:P231)</f>
        <v>0</v>
      </c>
      <c r="R232" s="28">
        <f>SUM(R217:R231)</f>
        <v>13535</v>
      </c>
      <c r="S232" s="28">
        <f>SUM(S217:S231)</f>
        <v>10994.57</v>
      </c>
      <c r="U232" s="28">
        <f>SUM(U217:U231)</f>
        <v>13535</v>
      </c>
      <c r="V232" s="28">
        <f>SUM(V217:V231)</f>
        <v>0</v>
      </c>
      <c r="W232" s="28">
        <f>SUM(W217:W231)</f>
        <v>13535</v>
      </c>
      <c r="X232" s="123">
        <f>IF(U232=0," ",(W232-U232)/U232)</f>
        <v>0</v>
      </c>
      <c r="Z232" s="28">
        <f>SUM(Z217:Z231)</f>
        <v>13535</v>
      </c>
      <c r="AA232" s="28">
        <f>SUM(AA217:AA231)</f>
        <v>16585</v>
      </c>
      <c r="AC232" s="139"/>
      <c r="AE232" s="28">
        <f>SUM(AE217:AE231)</f>
        <v>16585</v>
      </c>
      <c r="AF232" s="28">
        <f>SUM(AF217:AF231)</f>
        <v>14527.95</v>
      </c>
      <c r="AH232" s="28">
        <v>16585</v>
      </c>
      <c r="AI232" s="28">
        <f>SUM(AI217:AI231)</f>
        <v>-2700</v>
      </c>
      <c r="AJ232" s="28">
        <f>SUM(AJ217:AJ231)</f>
        <v>13885</v>
      </c>
      <c r="AK232" s="123">
        <f>IF(AH232=0," ",(AJ232-AH232)/AH232)</f>
        <v>-0.16279770877298763</v>
      </c>
      <c r="AM232" s="28">
        <f>SUM(AM217:AM231)</f>
        <v>13885</v>
      </c>
      <c r="AN232" s="28">
        <f>SUM(AN217:AN231)</f>
        <v>13885</v>
      </c>
      <c r="AP232" s="139"/>
      <c r="AR232" s="28">
        <f>SUM(AR217:AR231)</f>
        <v>13885</v>
      </c>
      <c r="AS232" s="28">
        <f>SUM(AS217:AS231)</f>
        <v>11906.73</v>
      </c>
      <c r="AU232" s="28">
        <f>SUM(AU217:AU231)</f>
        <v>13885</v>
      </c>
      <c r="AV232" s="28">
        <f>SUM(AV217:AV231)</f>
        <v>0</v>
      </c>
      <c r="AW232" s="28">
        <f>SUM(AW217:AW231)</f>
        <v>13885</v>
      </c>
      <c r="AX232" s="123">
        <f>IF(AU232=0," ",(AW232-AU232)/AU232)</f>
        <v>0</v>
      </c>
      <c r="AZ232" s="28">
        <f>SUM(AZ217:AZ231)</f>
        <v>13885</v>
      </c>
      <c r="BA232" s="28">
        <f>SUM(BA217:BA231)</f>
        <v>17097</v>
      </c>
      <c r="BC232" s="139"/>
      <c r="BE232" s="28">
        <f>SUM(BE217:BE231)</f>
        <v>17097</v>
      </c>
      <c r="BF232" s="28">
        <f>SUM(BF217:BF231)</f>
        <v>12337.529999999999</v>
      </c>
      <c r="BG232" s="9"/>
      <c r="BH232" s="28">
        <f>SUM(BH217:BH231)</f>
        <v>17097</v>
      </c>
      <c r="BI232" s="28">
        <f>SUM(BI217:BI231)</f>
        <v>-1412</v>
      </c>
      <c r="BJ232" s="28">
        <f>SUM(BJ217:BJ231)</f>
        <v>15685</v>
      </c>
      <c r="BK232" s="123">
        <f>IF(BH232=0," ",(BJ232-BH232)/BH232)</f>
        <v>-8.2587588465812711E-2</v>
      </c>
      <c r="BM232" s="28">
        <f>SUM(BM217:BM231)</f>
        <v>15685</v>
      </c>
      <c r="BN232" s="28">
        <f>SUM(BN217:BN231)</f>
        <v>20457</v>
      </c>
      <c r="BP232" s="139"/>
      <c r="BR232" s="28">
        <f>SUM(BR217:BR231)</f>
        <v>20457</v>
      </c>
      <c r="BS232" s="28">
        <f>SUM(BS217:BS231)</f>
        <v>8695.92</v>
      </c>
      <c r="BT232" s="9"/>
      <c r="BU232" s="28">
        <f>SUM(BU217:BU231)</f>
        <v>20457</v>
      </c>
      <c r="BV232" s="532">
        <f>SUM(BV217:BV231)</f>
        <v>0</v>
      </c>
      <c r="BW232" s="591">
        <f>SUM(BW217:BW231)</f>
        <v>20457</v>
      </c>
      <c r="BX232" s="579">
        <f>IF(BU232=0," ",(BW232-BU232)/BU232)</f>
        <v>0</v>
      </c>
      <c r="BY232" s="580"/>
      <c r="BZ232" s="591">
        <f>SUM(BZ217:BZ231)</f>
        <v>20457</v>
      </c>
      <c r="CA232" s="591">
        <f>SUM(CA217:CA231)</f>
        <v>23277</v>
      </c>
      <c r="CB232" s="580"/>
      <c r="CC232" s="769"/>
      <c r="CD232" s="580"/>
      <c r="CE232" s="591">
        <f>SUM(CE217:CE231)</f>
        <v>23277</v>
      </c>
      <c r="CF232" s="591">
        <f>SUM(CF217:CF231)</f>
        <v>0</v>
      </c>
      <c r="CG232" s="9"/>
      <c r="CH232" s="815"/>
      <c r="CI232" s="815"/>
      <c r="CJ232" s="886"/>
      <c r="CK232" s="1"/>
      <c r="CO232" s="16"/>
    </row>
    <row r="233" spans="1:93" ht="9.9" customHeight="1" x14ac:dyDescent="0.3">
      <c r="AS233" s="16"/>
      <c r="CJ233" s="886"/>
      <c r="CK233" s="1"/>
      <c r="CO233" s="16"/>
    </row>
    <row r="234" spans="1:93" s="1" customFormat="1" x14ac:dyDescent="0.3">
      <c r="A234" s="20"/>
      <c r="B234" s="5"/>
      <c r="C234" s="39"/>
      <c r="D234" s="39"/>
      <c r="E234" s="51"/>
      <c r="F234" s="5"/>
      <c r="G234" s="21" t="s">
        <v>131</v>
      </c>
      <c r="H234" s="22">
        <f>H215+H232</f>
        <v>109531</v>
      </c>
      <c r="I234" s="22">
        <f>I215+I232</f>
        <v>-863</v>
      </c>
      <c r="J234" s="22">
        <f>J215+J232</f>
        <v>108668</v>
      </c>
      <c r="K234" s="124">
        <f>IF(H234=0," ",(J234-H234)/H234)</f>
        <v>-7.8790479407656287E-3</v>
      </c>
      <c r="M234" s="22">
        <f>M215+M232</f>
        <v>101596</v>
      </c>
      <c r="N234" s="22">
        <f>N215+N232</f>
        <v>101596</v>
      </c>
      <c r="P234" s="136">
        <f>P215+P232</f>
        <v>0</v>
      </c>
      <c r="R234" s="22">
        <f>R215+R232</f>
        <v>101596</v>
      </c>
      <c r="S234" s="22">
        <f>S215+S232</f>
        <v>96316.420000000013</v>
      </c>
      <c r="U234" s="22">
        <f>U215+U232</f>
        <v>101596</v>
      </c>
      <c r="V234" s="22">
        <f>V215+V232</f>
        <v>5513</v>
      </c>
      <c r="W234" s="22">
        <f>W215+W232</f>
        <v>107109</v>
      </c>
      <c r="X234" s="124">
        <f>IF(U234=0," ",(W234-U234)/U234)</f>
        <v>5.4263947399503916E-2</v>
      </c>
      <c r="Z234" s="22">
        <f>Z215+Z232</f>
        <v>107109</v>
      </c>
      <c r="AA234" s="22">
        <f>AA215+AA232</f>
        <v>115159</v>
      </c>
      <c r="AC234" s="136"/>
      <c r="AE234" s="22">
        <f>AE215+AE232</f>
        <v>115159</v>
      </c>
      <c r="AF234" s="199">
        <f>AF215+AF232</f>
        <v>114088.73</v>
      </c>
      <c r="AH234" s="22">
        <v>115159</v>
      </c>
      <c r="AI234" s="22">
        <f>AI215+AI232</f>
        <v>5631</v>
      </c>
      <c r="AJ234" s="22">
        <f>AJ215+AJ232</f>
        <v>120790</v>
      </c>
      <c r="AK234" s="124">
        <f>IF(AH234=0," ",(AJ234-AH234)/AH234)</f>
        <v>4.8897611128960829E-2</v>
      </c>
      <c r="AM234" s="22">
        <f>AM215+AM232</f>
        <v>120790</v>
      </c>
      <c r="AN234" s="22">
        <f>AN215+AN232</f>
        <v>120790</v>
      </c>
      <c r="AP234" s="136"/>
      <c r="AR234" s="22">
        <f>AR215+AR232</f>
        <v>120790</v>
      </c>
      <c r="AS234" s="22">
        <f>AS215+AS232</f>
        <v>113599.65000000001</v>
      </c>
      <c r="AU234" s="22">
        <f>AU215+AU232</f>
        <v>120790</v>
      </c>
      <c r="AV234" s="22">
        <f>AV215+AV232</f>
        <v>2331</v>
      </c>
      <c r="AW234" s="22">
        <f>AW215+AW232</f>
        <v>123121</v>
      </c>
      <c r="AX234" s="124">
        <f>IF(AU234=0," ",(AW234-AU234)/AU234)</f>
        <v>1.9297955128735823E-2</v>
      </c>
      <c r="AZ234" s="22">
        <f>AZ215+AZ232</f>
        <v>122729</v>
      </c>
      <c r="BA234" s="22">
        <f>BA215+BA232</f>
        <v>123292</v>
      </c>
      <c r="BC234" s="136"/>
      <c r="BE234" s="22">
        <f>BE215+BE232</f>
        <v>123292</v>
      </c>
      <c r="BF234" s="22">
        <f>BF215+BF232</f>
        <v>117617.04000000001</v>
      </c>
      <c r="BH234" s="22">
        <f>BH215+BH232</f>
        <v>123292</v>
      </c>
      <c r="BI234" s="22">
        <f>BI215+BI232</f>
        <v>-2315</v>
      </c>
      <c r="BJ234" s="22">
        <f>BJ215+BJ232</f>
        <v>120977</v>
      </c>
      <c r="BK234" s="124">
        <f>IF(BH234=0," ",(BJ234-BH234)/BH234)</f>
        <v>-1.8776562956233981E-2</v>
      </c>
      <c r="BM234" s="22">
        <f>BM215+BM232</f>
        <v>120977</v>
      </c>
      <c r="BN234" s="22">
        <f>BN215+BN232</f>
        <v>125749</v>
      </c>
      <c r="BP234" s="136"/>
      <c r="BR234" s="22">
        <f>BR215+BR232</f>
        <v>125749</v>
      </c>
      <c r="BS234" s="22">
        <f>BS215+BS232</f>
        <v>56950.369999999995</v>
      </c>
      <c r="BU234" s="22">
        <f>BU215+BU232</f>
        <v>125749</v>
      </c>
      <c r="BV234" s="531">
        <f>BV215+BV232</f>
        <v>1855</v>
      </c>
      <c r="BW234" s="581">
        <f>BW215+BW232</f>
        <v>127604</v>
      </c>
      <c r="BX234" s="582">
        <f>IF(BU234=0," ",(BW234-BU234)/BU234)</f>
        <v>1.4751608362690757E-2</v>
      </c>
      <c r="BY234" s="573"/>
      <c r="BZ234" s="581">
        <f>BZ215+BZ232</f>
        <v>127604</v>
      </c>
      <c r="CA234" s="581">
        <f>CA215+CA232</f>
        <v>140093</v>
      </c>
      <c r="CB234" s="573"/>
      <c r="CC234" s="764"/>
      <c r="CD234" s="573"/>
      <c r="CE234" s="581">
        <f>CE215+CE232</f>
        <v>140093</v>
      </c>
      <c r="CF234" s="581">
        <f>CF215+CF232</f>
        <v>0</v>
      </c>
      <c r="CH234" s="812"/>
      <c r="CI234" s="812"/>
      <c r="CJ234" s="886"/>
      <c r="CO234" s="16"/>
    </row>
    <row r="235" spans="1:93" ht="20.100000000000001" customHeight="1" x14ac:dyDescent="0.3">
      <c r="AS235" s="16"/>
      <c r="CJ235" s="886"/>
      <c r="CK235" s="1"/>
      <c r="CO235" s="16"/>
    </row>
    <row r="236" spans="1:93" s="1" customFormat="1" ht="15.6" x14ac:dyDescent="0.3">
      <c r="A236" s="14" t="s">
        <v>501</v>
      </c>
      <c r="B236" s="2"/>
      <c r="C236" s="36"/>
      <c r="D236" s="36"/>
      <c r="E236" s="48"/>
      <c r="F236" s="2"/>
      <c r="G236" s="2"/>
      <c r="H236" s="15"/>
      <c r="I236" s="15"/>
      <c r="J236" s="15"/>
      <c r="K236" s="121"/>
      <c r="M236" s="15"/>
      <c r="N236" s="15"/>
      <c r="P236" s="133"/>
      <c r="R236" s="15"/>
      <c r="S236" s="15"/>
      <c r="U236" s="15"/>
      <c r="V236" s="15"/>
      <c r="W236" s="15"/>
      <c r="X236" s="121"/>
      <c r="Z236" s="15"/>
      <c r="AA236" s="15"/>
      <c r="AC236" s="133"/>
      <c r="AE236" s="15"/>
      <c r="AF236" s="196"/>
      <c r="AH236" s="15"/>
      <c r="AI236" s="15"/>
      <c r="AJ236" s="15"/>
      <c r="AK236" s="121"/>
      <c r="AM236" s="15"/>
      <c r="AN236" s="15"/>
      <c r="AP236" s="133"/>
      <c r="AR236" s="15"/>
      <c r="AS236" s="15"/>
      <c r="AU236" s="15"/>
      <c r="AV236" s="15"/>
      <c r="AW236" s="15"/>
      <c r="AX236" s="121"/>
      <c r="AZ236" s="15"/>
      <c r="BA236" s="15"/>
      <c r="BC236" s="133"/>
      <c r="BE236" s="15"/>
      <c r="BF236" s="15"/>
      <c r="BH236" s="15"/>
      <c r="BI236" s="15"/>
      <c r="BJ236" s="15"/>
      <c r="BK236" s="121"/>
      <c r="BM236" s="15"/>
      <c r="BN236" s="15"/>
      <c r="BP236" s="234"/>
      <c r="BR236" s="15"/>
      <c r="BS236" s="15"/>
      <c r="BU236" s="15"/>
      <c r="BV236" s="529"/>
      <c r="BW236" s="574"/>
      <c r="BX236" s="575"/>
      <c r="BY236" s="573"/>
      <c r="BZ236" s="574"/>
      <c r="CA236" s="574"/>
      <c r="CB236" s="573"/>
      <c r="CC236" s="761"/>
      <c r="CD236" s="573"/>
      <c r="CE236" s="574"/>
      <c r="CF236" s="574"/>
      <c r="CH236" s="812"/>
      <c r="CI236" s="812"/>
      <c r="CJ236" s="886"/>
      <c r="CO236" s="16"/>
    </row>
    <row r="237" spans="1:93" x14ac:dyDescent="0.3">
      <c r="A237" s="11">
        <v>162</v>
      </c>
      <c r="B237" s="3" t="s">
        <v>2</v>
      </c>
      <c r="C237" s="37">
        <v>16205</v>
      </c>
      <c r="D237" s="37">
        <v>57800</v>
      </c>
      <c r="E237" s="49" t="s">
        <v>118</v>
      </c>
      <c r="F237" s="3" t="s">
        <v>2</v>
      </c>
      <c r="G237" s="3" t="s">
        <v>505</v>
      </c>
      <c r="H237" s="26">
        <v>100</v>
      </c>
      <c r="I237" s="244">
        <v>-100</v>
      </c>
      <c r="J237" s="16">
        <f>H237+I237</f>
        <v>0</v>
      </c>
      <c r="K237" s="122">
        <f>IF(H237=0," ",(J237-H237)/H237)</f>
        <v>-1</v>
      </c>
      <c r="M237" s="117">
        <v>0</v>
      </c>
      <c r="N237" s="117">
        <v>0</v>
      </c>
      <c r="P237" s="117" t="s">
        <v>502</v>
      </c>
      <c r="R237" s="26">
        <v>0</v>
      </c>
      <c r="S237" s="26">
        <v>0</v>
      </c>
      <c r="U237" s="26">
        <v>0</v>
      </c>
      <c r="V237" s="244">
        <v>0</v>
      </c>
      <c r="W237" s="16">
        <f>U237+V237</f>
        <v>0</v>
      </c>
      <c r="X237" s="122" t="str">
        <f>IF(U237=0," ",(W237-U237)/U237)</f>
        <v xml:space="preserve"> </v>
      </c>
      <c r="Z237" s="117">
        <v>0</v>
      </c>
      <c r="AA237" s="117">
        <v>0</v>
      </c>
      <c r="AC237" s="117" t="s">
        <v>642</v>
      </c>
      <c r="AE237" s="26">
        <v>0</v>
      </c>
      <c r="AF237" s="200">
        <v>0</v>
      </c>
      <c r="AH237" s="26">
        <v>0</v>
      </c>
      <c r="AI237" s="244"/>
      <c r="AJ237" s="16">
        <f>AH237+AI237</f>
        <v>0</v>
      </c>
      <c r="AK237" s="122" t="str">
        <f>IF(AH237=0," ",(AJ237-AH237)/AH237)</f>
        <v xml:space="preserve"> </v>
      </c>
      <c r="AM237" s="117">
        <v>0</v>
      </c>
      <c r="AN237" s="117">
        <v>0</v>
      </c>
      <c r="AP237" s="117"/>
      <c r="AR237" s="26">
        <v>0</v>
      </c>
      <c r="AS237" s="26"/>
      <c r="AU237" s="26">
        <f>AR237</f>
        <v>0</v>
      </c>
      <c r="AV237" s="244"/>
      <c r="AW237" s="16">
        <f>AU237+AV237</f>
        <v>0</v>
      </c>
      <c r="AX237" s="122" t="str">
        <f>IF(AU237=0," ",(AW237-AU237)/AU237)</f>
        <v xml:space="preserve"> </v>
      </c>
      <c r="AZ237" s="117"/>
      <c r="BA237" s="117"/>
      <c r="BC237" s="117"/>
      <c r="BE237" s="26"/>
      <c r="BF237" s="26"/>
      <c r="BH237" s="26"/>
      <c r="BI237" s="244"/>
      <c r="BJ237" s="16">
        <f>BH237+BI237</f>
        <v>0</v>
      </c>
      <c r="BK237" s="122" t="str">
        <f>IF(BH237=0," ",(BJ237-BH237)/BH237)</f>
        <v xml:space="preserve"> </v>
      </c>
      <c r="BM237" s="117"/>
      <c r="BN237" s="117"/>
      <c r="BP237" s="117"/>
      <c r="BR237" s="117"/>
      <c r="BS237" s="26"/>
      <c r="BU237" s="26"/>
      <c r="BV237" s="244"/>
      <c r="BW237" s="576">
        <f>BU237+BV237</f>
        <v>0</v>
      </c>
      <c r="BX237" s="577" t="str">
        <f>IF(BU237=0," ",(BW237-BU237)/BU237)</f>
        <v xml:space="preserve"> </v>
      </c>
      <c r="BZ237" s="166"/>
      <c r="CA237" s="166"/>
      <c r="CC237" s="775"/>
      <c r="CE237" s="166"/>
      <c r="CF237" s="166"/>
      <c r="CJ237" s="886"/>
      <c r="CK237" s="1"/>
      <c r="CO237" s="16"/>
    </row>
    <row r="238" spans="1:93" s="19" customFormat="1" x14ac:dyDescent="0.3">
      <c r="A238" s="27"/>
      <c r="B238" s="8"/>
      <c r="C238" s="42"/>
      <c r="D238" s="42"/>
      <c r="E238" s="54"/>
      <c r="F238" s="8"/>
      <c r="G238" s="8" t="s">
        <v>503</v>
      </c>
      <c r="H238" s="28">
        <f t="shared" ref="H238" si="124">SUM(H237)</f>
        <v>100</v>
      </c>
      <c r="I238" s="28">
        <f>SUM(I237)</f>
        <v>-100</v>
      </c>
      <c r="J238" s="28">
        <f>SUM(J237)</f>
        <v>0</v>
      </c>
      <c r="K238" s="123">
        <f>IF(H238=0," ",(J238-H238)/H238)</f>
        <v>-1</v>
      </c>
      <c r="M238" s="28">
        <f>SUM(M237)</f>
        <v>0</v>
      </c>
      <c r="N238" s="28">
        <f>SUM(N237)</f>
        <v>0</v>
      </c>
      <c r="P238" s="139">
        <f>SUM(P237)</f>
        <v>0</v>
      </c>
      <c r="R238" s="28">
        <f>SUM(R237)</f>
        <v>0</v>
      </c>
      <c r="S238" s="28">
        <f>SUM(S237)</f>
        <v>0</v>
      </c>
      <c r="U238" s="28">
        <f>SUM(U237)</f>
        <v>0</v>
      </c>
      <c r="V238" s="28">
        <f>SUM(V237)</f>
        <v>0</v>
      </c>
      <c r="W238" s="28">
        <f>SUM(W237)</f>
        <v>0</v>
      </c>
      <c r="X238" s="123" t="str">
        <f>IF(U238=0," ",(W238-U238)/U238)</f>
        <v xml:space="preserve"> </v>
      </c>
      <c r="Z238" s="28">
        <f>SUM(Z237)</f>
        <v>0</v>
      </c>
      <c r="AA238" s="28">
        <f>SUM(AA237)</f>
        <v>0</v>
      </c>
      <c r="AC238" s="139"/>
      <c r="AE238" s="28">
        <f>SUM(AE237)</f>
        <v>0</v>
      </c>
      <c r="AF238" s="201">
        <f>SUM(AF237)</f>
        <v>0</v>
      </c>
      <c r="AH238" s="28">
        <v>0</v>
      </c>
      <c r="AI238" s="28">
        <f>SUM(AI237)</f>
        <v>0</v>
      </c>
      <c r="AJ238" s="28">
        <f>SUM(AJ237)</f>
        <v>0</v>
      </c>
      <c r="AK238" s="123" t="str">
        <f>IF(AH238=0," ",(AJ238-AH238)/AH238)</f>
        <v xml:space="preserve"> </v>
      </c>
      <c r="AM238" s="28">
        <f>SUM(AM237)</f>
        <v>0</v>
      </c>
      <c r="AN238" s="28">
        <f>SUM(AN237)</f>
        <v>0</v>
      </c>
      <c r="AP238" s="139"/>
      <c r="AR238" s="28">
        <f>SUM(AR237)</f>
        <v>0</v>
      </c>
      <c r="AS238" s="28">
        <f>SUM(AS237)</f>
        <v>0</v>
      </c>
      <c r="AU238" s="28">
        <f>SUM(AU237)</f>
        <v>0</v>
      </c>
      <c r="AV238" s="28">
        <f>SUM(AV237)</f>
        <v>0</v>
      </c>
      <c r="AW238" s="28">
        <f>SUM(AW237)</f>
        <v>0</v>
      </c>
      <c r="AX238" s="123" t="str">
        <f>IF(AU238=0," ",(AW238-AU238)/AU238)</f>
        <v xml:space="preserve"> </v>
      </c>
      <c r="AZ238" s="28">
        <f>SUM(AZ237)</f>
        <v>0</v>
      </c>
      <c r="BA238" s="28">
        <f>SUM(BA237)</f>
        <v>0</v>
      </c>
      <c r="BC238" s="139"/>
      <c r="BE238" s="28">
        <f>SUM(BE237)</f>
        <v>0</v>
      </c>
      <c r="BF238" s="28">
        <f>SUM(BF237)</f>
        <v>0</v>
      </c>
      <c r="BG238" s="9"/>
      <c r="BH238" s="28">
        <f>SUM(BH237)</f>
        <v>0</v>
      </c>
      <c r="BI238" s="28">
        <f>SUM(BI237)</f>
        <v>0</v>
      </c>
      <c r="BJ238" s="28">
        <f>SUM(BJ237)</f>
        <v>0</v>
      </c>
      <c r="BK238" s="123" t="str">
        <f>IF(BH238=0," ",(BJ238-BH238)/BH238)</f>
        <v xml:space="preserve"> </v>
      </c>
      <c r="BM238" s="28">
        <f>SUM(BM237)</f>
        <v>0</v>
      </c>
      <c r="BN238" s="28">
        <f>SUM(BN237)</f>
        <v>0</v>
      </c>
      <c r="BP238" s="139"/>
      <c r="BR238" s="28">
        <f>SUM(BR237)</f>
        <v>0</v>
      </c>
      <c r="BS238" s="28"/>
      <c r="BT238" s="9"/>
      <c r="BU238" s="28">
        <f>SUM(BU237)</f>
        <v>0</v>
      </c>
      <c r="BV238" s="532">
        <f>SUM(BV237)</f>
        <v>0</v>
      </c>
      <c r="BW238" s="591">
        <f>SUM(BW237)</f>
        <v>0</v>
      </c>
      <c r="BX238" s="579" t="str">
        <f>IF(BU238=0," ",(BW238-BU238)/BU238)</f>
        <v xml:space="preserve"> </v>
      </c>
      <c r="BY238" s="580"/>
      <c r="BZ238" s="591">
        <f>SUM(BZ237)</f>
        <v>0</v>
      </c>
      <c r="CA238" s="591">
        <f>SUM(CA237)</f>
        <v>0</v>
      </c>
      <c r="CB238" s="580"/>
      <c r="CC238" s="769"/>
      <c r="CD238" s="580"/>
      <c r="CE238" s="591">
        <f>SUM(CE237)</f>
        <v>0</v>
      </c>
      <c r="CF238" s="591">
        <f>SUM(CF237)</f>
        <v>0</v>
      </c>
      <c r="CG238" s="9"/>
      <c r="CH238" s="815"/>
      <c r="CI238" s="815"/>
      <c r="CJ238" s="886"/>
      <c r="CK238" s="1"/>
      <c r="CO238" s="16"/>
    </row>
    <row r="239" spans="1:93" ht="9.9" customHeight="1" x14ac:dyDescent="0.3">
      <c r="AS239" s="16"/>
      <c r="CJ239" s="886"/>
      <c r="CK239" s="1"/>
      <c r="CO239" s="16"/>
    </row>
    <row r="240" spans="1:93" s="1" customFormat="1" x14ac:dyDescent="0.3">
      <c r="A240" s="20"/>
      <c r="B240" s="5"/>
      <c r="C240" s="39"/>
      <c r="D240" s="39"/>
      <c r="E240" s="51"/>
      <c r="F240" s="5"/>
      <c r="G240" s="21" t="s">
        <v>504</v>
      </c>
      <c r="H240" s="22">
        <f t="shared" ref="H240" si="125">H238</f>
        <v>100</v>
      </c>
      <c r="I240" s="22">
        <f>I238</f>
        <v>-100</v>
      </c>
      <c r="J240" s="22">
        <f>J238</f>
        <v>0</v>
      </c>
      <c r="K240" s="124">
        <f>IF(H240=0," ",(J240-H240)/H240)</f>
        <v>-1</v>
      </c>
      <c r="M240" s="22">
        <f>M238</f>
        <v>0</v>
      </c>
      <c r="N240" s="22">
        <f>N238</f>
        <v>0</v>
      </c>
      <c r="P240" s="136">
        <f>P238</f>
        <v>0</v>
      </c>
      <c r="R240" s="22">
        <f>R238</f>
        <v>0</v>
      </c>
      <c r="S240" s="22">
        <f>S238</f>
        <v>0</v>
      </c>
      <c r="U240" s="22">
        <f>U238</f>
        <v>0</v>
      </c>
      <c r="V240" s="22">
        <f>V238</f>
        <v>0</v>
      </c>
      <c r="W240" s="22">
        <f>W238</f>
        <v>0</v>
      </c>
      <c r="X240" s="124" t="str">
        <f>IF(U240=0," ",(W240-U240)/U240)</f>
        <v xml:space="preserve"> </v>
      </c>
      <c r="Z240" s="22">
        <f>Z238</f>
        <v>0</v>
      </c>
      <c r="AA240" s="22">
        <f>AA238</f>
        <v>0</v>
      </c>
      <c r="AC240" s="136"/>
      <c r="AE240" s="22">
        <f>AE238</f>
        <v>0</v>
      </c>
      <c r="AF240" s="199">
        <f>AF238</f>
        <v>0</v>
      </c>
      <c r="AH240" s="22">
        <v>0</v>
      </c>
      <c r="AI240" s="22">
        <f>AI238</f>
        <v>0</v>
      </c>
      <c r="AJ240" s="22">
        <f>AJ238</f>
        <v>0</v>
      </c>
      <c r="AK240" s="124" t="str">
        <f>IF(AH240=0," ",(AJ240-AH240)/AH240)</f>
        <v xml:space="preserve"> </v>
      </c>
      <c r="AM240" s="22">
        <f>AM238</f>
        <v>0</v>
      </c>
      <c r="AN240" s="22">
        <f>AN238</f>
        <v>0</v>
      </c>
      <c r="AP240" s="136"/>
      <c r="AR240" s="22">
        <f>AR238</f>
        <v>0</v>
      </c>
      <c r="AS240" s="22">
        <f>AS238</f>
        <v>0</v>
      </c>
      <c r="AU240" s="22">
        <f>AU238</f>
        <v>0</v>
      </c>
      <c r="AV240" s="22">
        <f>AV238</f>
        <v>0</v>
      </c>
      <c r="AW240" s="22">
        <f>AW238</f>
        <v>0</v>
      </c>
      <c r="AX240" s="124" t="str">
        <f>IF(AU240=0," ",(AW240-AU240)/AU240)</f>
        <v xml:space="preserve"> </v>
      </c>
      <c r="AZ240" s="22">
        <f>AZ238</f>
        <v>0</v>
      </c>
      <c r="BA240" s="22">
        <f>BA238</f>
        <v>0</v>
      </c>
      <c r="BC240" s="136"/>
      <c r="BE240" s="22">
        <f>BE238</f>
        <v>0</v>
      </c>
      <c r="BF240" s="22">
        <f>BF238</f>
        <v>0</v>
      </c>
      <c r="BH240" s="22">
        <f>BH238</f>
        <v>0</v>
      </c>
      <c r="BI240" s="22">
        <f>BI238</f>
        <v>0</v>
      </c>
      <c r="BJ240" s="22">
        <f>BJ238</f>
        <v>0</v>
      </c>
      <c r="BK240" s="124" t="str">
        <f>IF(BH240=0," ",(BJ240-BH240)/BH240)</f>
        <v xml:space="preserve"> </v>
      </c>
      <c r="BM240" s="22">
        <f>BM238</f>
        <v>0</v>
      </c>
      <c r="BN240" s="22">
        <f>BN238</f>
        <v>0</v>
      </c>
      <c r="BP240" s="136"/>
      <c r="BR240" s="22">
        <f>BR238</f>
        <v>0</v>
      </c>
      <c r="BS240" s="22"/>
      <c r="BU240" s="22">
        <f>BU238</f>
        <v>0</v>
      </c>
      <c r="BV240" s="531">
        <f>BV238</f>
        <v>0</v>
      </c>
      <c r="BW240" s="581">
        <f>BW238</f>
        <v>0</v>
      </c>
      <c r="BX240" s="582" t="str">
        <f>IF(BU240=0," ",(BW240-BU240)/BU240)</f>
        <v xml:space="preserve"> </v>
      </c>
      <c r="BY240" s="573"/>
      <c r="BZ240" s="581">
        <f>BZ238</f>
        <v>0</v>
      </c>
      <c r="CA240" s="581">
        <f>CA238</f>
        <v>0</v>
      </c>
      <c r="CB240" s="573"/>
      <c r="CC240" s="764"/>
      <c r="CD240" s="573"/>
      <c r="CE240" s="581">
        <f>CE238</f>
        <v>0</v>
      </c>
      <c r="CF240" s="581">
        <f>CF238</f>
        <v>0</v>
      </c>
      <c r="CH240" s="812"/>
      <c r="CI240" s="812"/>
      <c r="CJ240" s="886"/>
      <c r="CO240" s="16"/>
    </row>
    <row r="241" spans="1:93" ht="20.100000000000001" customHeight="1" x14ac:dyDescent="0.3">
      <c r="AS241" s="16"/>
      <c r="CJ241" s="886"/>
      <c r="CK241" s="1"/>
      <c r="CO241" s="16"/>
    </row>
    <row r="242" spans="1:93" s="1" customFormat="1" ht="15.6" x14ac:dyDescent="0.3">
      <c r="A242" s="14" t="s">
        <v>127</v>
      </c>
      <c r="B242" s="2"/>
      <c r="C242" s="36"/>
      <c r="D242" s="36"/>
      <c r="E242" s="48"/>
      <c r="F242" s="2"/>
      <c r="G242" s="2"/>
      <c r="H242" s="15"/>
      <c r="I242" s="15"/>
      <c r="J242" s="15"/>
      <c r="K242" s="121"/>
      <c r="M242" s="15"/>
      <c r="N242" s="15"/>
      <c r="P242" s="133"/>
      <c r="R242" s="15"/>
      <c r="S242" s="15"/>
      <c r="U242" s="15"/>
      <c r="V242" s="15"/>
      <c r="W242" s="15"/>
      <c r="X242" s="121"/>
      <c r="Z242" s="15"/>
      <c r="AA242" s="15"/>
      <c r="AC242" s="133"/>
      <c r="AE242" s="15"/>
      <c r="AF242" s="196"/>
      <c r="AH242" s="15"/>
      <c r="AI242" s="15"/>
      <c r="AJ242" s="15"/>
      <c r="AK242" s="121"/>
      <c r="AM242" s="15"/>
      <c r="AN242" s="15"/>
      <c r="AP242" s="133"/>
      <c r="AR242" s="15"/>
      <c r="AS242" s="15"/>
      <c r="AU242" s="15"/>
      <c r="AV242" s="15"/>
      <c r="AW242" s="15"/>
      <c r="AX242" s="121"/>
      <c r="AZ242" s="15"/>
      <c r="BA242" s="15"/>
      <c r="BC242" s="133"/>
      <c r="BE242" s="15"/>
      <c r="BF242" s="15"/>
      <c r="BH242" s="15"/>
      <c r="BI242" s="15"/>
      <c r="BJ242" s="15"/>
      <c r="BK242" s="121"/>
      <c r="BM242" s="15"/>
      <c r="BN242" s="15"/>
      <c r="BP242" s="234"/>
      <c r="BR242" s="15"/>
      <c r="BS242" s="15"/>
      <c r="BU242" s="15"/>
      <c r="BV242" s="529"/>
      <c r="BW242" s="574"/>
      <c r="BX242" s="575"/>
      <c r="BY242" s="573"/>
      <c r="BZ242" s="574"/>
      <c r="CA242" s="574"/>
      <c r="CB242" s="573"/>
      <c r="CC242" s="761"/>
      <c r="CD242" s="573"/>
      <c r="CE242" s="574"/>
      <c r="CF242" s="574"/>
      <c r="CH242" s="812"/>
      <c r="CI242" s="812"/>
      <c r="CJ242" s="886"/>
      <c r="CO242" s="16"/>
    </row>
    <row r="243" spans="1:93" x14ac:dyDescent="0.3">
      <c r="A243" s="12">
        <v>171</v>
      </c>
      <c r="B243" s="1"/>
      <c r="C243" s="37">
        <v>17101</v>
      </c>
      <c r="D243" s="35">
        <v>51120</v>
      </c>
      <c r="E243" s="47" t="s">
        <v>119</v>
      </c>
      <c r="F243" s="1"/>
      <c r="G243" s="1" t="s">
        <v>308</v>
      </c>
      <c r="H243" s="26">
        <v>73956</v>
      </c>
      <c r="I243" s="244">
        <v>-550.96</v>
      </c>
      <c r="J243" s="16">
        <f>H243+I243</f>
        <v>73405.039999999994</v>
      </c>
      <c r="K243" s="122">
        <f>IF(H243=0," ",(J243-H243)/H243)</f>
        <v>-7.4498350370491425E-3</v>
      </c>
      <c r="M243" s="117">
        <v>61672</v>
      </c>
      <c r="N243" s="117">
        <v>61672</v>
      </c>
      <c r="P243" s="259" t="s">
        <v>515</v>
      </c>
      <c r="R243" s="26">
        <v>61672</v>
      </c>
      <c r="S243" s="26">
        <v>61225.81</v>
      </c>
      <c r="U243" s="26">
        <v>61672</v>
      </c>
      <c r="V243" s="244">
        <v>2975</v>
      </c>
      <c r="W243" s="16">
        <f>U243+V243</f>
        <v>64647</v>
      </c>
      <c r="X243" s="122">
        <f>IF(U243=0," ",(W243-U243)/U243)</f>
        <v>4.8239071215462448E-2</v>
      </c>
      <c r="Z243" s="117">
        <v>64647</v>
      </c>
      <c r="AA243" s="117">
        <v>64647</v>
      </c>
      <c r="AC243" s="259" t="s">
        <v>657</v>
      </c>
      <c r="AE243" s="26">
        <v>64647</v>
      </c>
      <c r="AF243" s="200">
        <v>64646.400000000001</v>
      </c>
      <c r="AH243" s="26">
        <v>64647</v>
      </c>
      <c r="AI243" s="244">
        <v>3599</v>
      </c>
      <c r="AJ243" s="16">
        <f>AH243+AI243</f>
        <v>68246</v>
      </c>
      <c r="AK243" s="122">
        <f>IF(AH243=0," ",(AJ243-AH243)/AH243)</f>
        <v>5.5671570219809119E-2</v>
      </c>
      <c r="AM243" s="117">
        <v>68246</v>
      </c>
      <c r="AN243" s="117">
        <v>68246</v>
      </c>
      <c r="AP243" s="259" t="s">
        <v>786</v>
      </c>
      <c r="AR243" s="26">
        <v>68246</v>
      </c>
      <c r="AS243" s="26">
        <v>68245.759999999995</v>
      </c>
      <c r="AU243" s="26">
        <f>AR243</f>
        <v>68246</v>
      </c>
      <c r="AV243" s="244">
        <v>3060</v>
      </c>
      <c r="AW243" s="16">
        <f>AU243+AV243</f>
        <v>71306</v>
      </c>
      <c r="AX243" s="122">
        <f>IF(AU243=0," ",(AW243-AU243)/AU243)</f>
        <v>4.4837792691146731E-2</v>
      </c>
      <c r="AZ243" s="117">
        <v>71034</v>
      </c>
      <c r="BA243" s="117">
        <v>69907</v>
      </c>
      <c r="BC243" s="259" t="s">
        <v>991</v>
      </c>
      <c r="BE243" s="26">
        <v>69907</v>
      </c>
      <c r="BF243" s="26">
        <v>69906.240000000005</v>
      </c>
      <c r="BH243" s="26">
        <v>69907</v>
      </c>
      <c r="BI243" s="244">
        <v>1399</v>
      </c>
      <c r="BJ243" s="16">
        <f>BH243+BI243</f>
        <v>71306</v>
      </c>
      <c r="BK243" s="122">
        <f>IF(BH243=0," ",(BJ243-BH243)/BH243)</f>
        <v>2.0012302058449082E-2</v>
      </c>
      <c r="BM243" s="117">
        <v>71306</v>
      </c>
      <c r="BN243" s="117">
        <v>71306</v>
      </c>
      <c r="BP243" s="428" t="s">
        <v>1298</v>
      </c>
      <c r="BR243" s="117">
        <v>71306</v>
      </c>
      <c r="BS243" s="26">
        <v>31964.400000000001</v>
      </c>
      <c r="BU243" s="26">
        <v>71306</v>
      </c>
      <c r="BV243" s="244">
        <v>1420</v>
      </c>
      <c r="BW243" s="576">
        <f>BU243+BV243</f>
        <v>72726</v>
      </c>
      <c r="BX243" s="577">
        <f>IF(BU243=0," ",(BW243-BU243)/BU243)</f>
        <v>1.9914172720388187E-2</v>
      </c>
      <c r="BZ243" s="166">
        <v>72726</v>
      </c>
      <c r="CA243" s="166">
        <v>72726</v>
      </c>
      <c r="CC243" s="765" t="s">
        <v>1279</v>
      </c>
      <c r="CE243" s="166">
        <v>72726</v>
      </c>
      <c r="CF243" s="166"/>
      <c r="CJ243" s="886"/>
      <c r="CK243" s="1"/>
      <c r="CO243" s="16"/>
    </row>
    <row r="244" spans="1:93" x14ac:dyDescent="0.3">
      <c r="A244" s="12">
        <v>171</v>
      </c>
      <c r="B244" s="3" t="s">
        <v>2</v>
      </c>
      <c r="C244" s="37">
        <v>17101</v>
      </c>
      <c r="D244" s="37">
        <v>51490</v>
      </c>
      <c r="E244" s="49" t="s">
        <v>119</v>
      </c>
      <c r="F244" s="3" t="s">
        <v>2</v>
      </c>
      <c r="G244" s="3" t="s">
        <v>309</v>
      </c>
      <c r="H244" s="146">
        <v>1000</v>
      </c>
      <c r="I244" s="245">
        <v>-1000</v>
      </c>
      <c r="J244" s="16">
        <f>H244+I244</f>
        <v>0</v>
      </c>
      <c r="K244" s="122">
        <f>IF(H244=0," ",(J244-H244)/H244)</f>
        <v>-1</v>
      </c>
      <c r="M244" s="118"/>
      <c r="N244" s="118"/>
      <c r="P244" s="137" t="s">
        <v>513</v>
      </c>
      <c r="R244" s="144"/>
      <c r="S244" s="144"/>
      <c r="U244" s="144"/>
      <c r="V244" s="245"/>
      <c r="W244" s="16">
        <f>U244+V244</f>
        <v>0</v>
      </c>
      <c r="X244" s="122" t="str">
        <f>IF(U244=0," ",(W244-U244)/U244)</f>
        <v xml:space="preserve"> </v>
      </c>
      <c r="Z244" s="118">
        <v>0</v>
      </c>
      <c r="AA244" s="118">
        <v>0</v>
      </c>
      <c r="AC244" s="137"/>
      <c r="AE244" s="144">
        <v>0</v>
      </c>
      <c r="AF244" s="271">
        <v>0</v>
      </c>
      <c r="AH244" s="144">
        <v>0</v>
      </c>
      <c r="AI244" s="245"/>
      <c r="AJ244" s="16">
        <f>AH244+AI244</f>
        <v>0</v>
      </c>
      <c r="AK244" s="122" t="str">
        <f>IF(AH244=0," ",(AJ244-AH244)/AH244)</f>
        <v xml:space="preserve"> </v>
      </c>
      <c r="AM244" s="118">
        <v>0</v>
      </c>
      <c r="AN244" s="117">
        <v>0</v>
      </c>
      <c r="AP244" s="137"/>
      <c r="AR244" s="26">
        <v>0</v>
      </c>
      <c r="AS244" s="26"/>
      <c r="AU244" s="26">
        <f>AR244</f>
        <v>0</v>
      </c>
      <c r="AV244" s="245"/>
      <c r="AW244" s="16">
        <f>AU244+AV244</f>
        <v>0</v>
      </c>
      <c r="AX244" s="122" t="str">
        <f>IF(AU244=0," ",(AW244-AU244)/AU244)</f>
        <v xml:space="preserve"> </v>
      </c>
      <c r="AZ244" s="117"/>
      <c r="BA244" s="117"/>
      <c r="BC244" s="137"/>
      <c r="BE244" s="26"/>
      <c r="BF244" s="26"/>
      <c r="BH244" s="26"/>
      <c r="BI244" s="245"/>
      <c r="BJ244" s="16">
        <f>BH244+BI244</f>
        <v>0</v>
      </c>
      <c r="BK244" s="122" t="str">
        <f>IF(BH244=0," ",(BJ244-BH244)/BH244)</f>
        <v xml:space="preserve"> </v>
      </c>
      <c r="BM244" s="117"/>
      <c r="BN244" s="117"/>
      <c r="BP244" s="137"/>
      <c r="BR244" s="117"/>
      <c r="BS244" s="144"/>
      <c r="BU244" s="26"/>
      <c r="BV244" s="245"/>
      <c r="BW244" s="576">
        <f>BU244+BV244</f>
        <v>0</v>
      </c>
      <c r="BX244" s="577" t="str">
        <f>IF(BU244=0," ",(BW244-BU244)/BU244)</f>
        <v xml:space="preserve"> </v>
      </c>
      <c r="BZ244" s="166">
        <v>0</v>
      </c>
      <c r="CA244" s="166">
        <v>0</v>
      </c>
      <c r="CC244" s="767"/>
      <c r="CE244" s="166">
        <v>0</v>
      </c>
      <c r="CF244" s="166"/>
      <c r="CJ244" s="886"/>
      <c r="CK244" s="1"/>
      <c r="CO244" s="16"/>
    </row>
    <row r="245" spans="1:93" x14ac:dyDescent="0.3">
      <c r="A245" s="12"/>
      <c r="H245" s="145">
        <f t="shared" ref="H245" si="126">SUM(H243:H244)</f>
        <v>74956</v>
      </c>
      <c r="I245" s="32">
        <f>SUM(I243:I244)</f>
        <v>-1550.96</v>
      </c>
      <c r="J245" s="32">
        <f>SUM(J243:J244)</f>
        <v>73405.039999999994</v>
      </c>
      <c r="K245" s="128">
        <f>IF(H245=0," ",(J245-H245)/H245)</f>
        <v>-2.0691605742035414E-2</v>
      </c>
      <c r="M245" s="32">
        <f>SUM(M243:M244)</f>
        <v>61672</v>
      </c>
      <c r="N245" s="32">
        <f>SUM(N243:N244)</f>
        <v>61672</v>
      </c>
      <c r="P245" s="141">
        <f>SUM(P243:P244)</f>
        <v>0</v>
      </c>
      <c r="R245" s="145">
        <f>SUM(R243:R244)</f>
        <v>61672</v>
      </c>
      <c r="S245" s="145">
        <f>SUM(S243:S244)</f>
        <v>61225.81</v>
      </c>
      <c r="U245" s="32">
        <f>SUM(U243:U244)</f>
        <v>61672</v>
      </c>
      <c r="V245" s="32">
        <f>SUM(V243:V244)</f>
        <v>2975</v>
      </c>
      <c r="W245" s="32">
        <f>SUM(W243:W244)</f>
        <v>64647</v>
      </c>
      <c r="X245" s="128">
        <f>IF(U245=0," ",(W245-U245)/U245)</f>
        <v>4.8239071215462448E-2</v>
      </c>
      <c r="Z245" s="32">
        <f>SUM(Z243:Z244)</f>
        <v>64647</v>
      </c>
      <c r="AA245" s="32">
        <f>SUM(AA243:AA244)</f>
        <v>64647</v>
      </c>
      <c r="AC245" s="141"/>
      <c r="AE245" s="145">
        <f>SUM(AE243:AE244)</f>
        <v>64647</v>
      </c>
      <c r="AF245" s="202">
        <f>SUM(AF243:AF244)</f>
        <v>64646.400000000001</v>
      </c>
      <c r="AH245" s="145">
        <v>64647</v>
      </c>
      <c r="AI245" s="32">
        <f>SUM(AI243:AI244)</f>
        <v>3599</v>
      </c>
      <c r="AJ245" s="32">
        <f>SUM(AJ243:AJ244)</f>
        <v>68246</v>
      </c>
      <c r="AK245" s="128">
        <f>IF(AH245=0," ",(AJ245-AH245)/AH245)</f>
        <v>5.5671570219809119E-2</v>
      </c>
      <c r="AM245" s="32">
        <f>SUM(AM243:AM244)</f>
        <v>68246</v>
      </c>
      <c r="AN245" s="32">
        <f>SUM(AN243:AN244)</f>
        <v>68246</v>
      </c>
      <c r="AP245" s="141"/>
      <c r="AR245" s="145">
        <f>SUM(AR243:AR244)</f>
        <v>68246</v>
      </c>
      <c r="AS245" s="145">
        <f>SUM(AS243:AS244)</f>
        <v>68245.759999999995</v>
      </c>
      <c r="AU245" s="145">
        <f>SUM(AU243:AU244)</f>
        <v>68246</v>
      </c>
      <c r="AV245" s="32">
        <f>SUM(AV243:AV244)</f>
        <v>3060</v>
      </c>
      <c r="AW245" s="32">
        <f>SUM(AW243:AW244)</f>
        <v>71306</v>
      </c>
      <c r="AX245" s="128">
        <f>IF(AU245=0," ",(AW245-AU245)/AU245)</f>
        <v>4.4837792691146731E-2</v>
      </c>
      <c r="AZ245" s="32">
        <f>SUM(AZ243:AZ244)</f>
        <v>71034</v>
      </c>
      <c r="BA245" s="32">
        <f>SUM(BA243:BA244)</f>
        <v>69907</v>
      </c>
      <c r="BC245" s="141"/>
      <c r="BE245" s="145">
        <f>SUM(BE243:BE244)</f>
        <v>69907</v>
      </c>
      <c r="BF245" s="145">
        <f>SUM(BF243:BF244)</f>
        <v>69906.240000000005</v>
      </c>
      <c r="BH245" s="145">
        <f>SUM(BH243:BH244)</f>
        <v>69907</v>
      </c>
      <c r="BI245" s="32">
        <f>SUM(BI243:BI244)</f>
        <v>1399</v>
      </c>
      <c r="BJ245" s="32">
        <f>SUM(BJ243:BJ244)</f>
        <v>71306</v>
      </c>
      <c r="BK245" s="128">
        <f>IF(BH245=0," ",(BJ245-BH245)/BH245)</f>
        <v>2.0012302058449082E-2</v>
      </c>
      <c r="BM245" s="145">
        <f>SUM(BM243:BM244)</f>
        <v>71306</v>
      </c>
      <c r="BN245" s="145">
        <f>SUM(BN243:BN244)</f>
        <v>71306</v>
      </c>
      <c r="BP245" s="141"/>
      <c r="BR245" s="145">
        <f>SUM(BR243:BR244)</f>
        <v>71306</v>
      </c>
      <c r="BS245" s="145">
        <f>SUM(BS243:BS244)</f>
        <v>31964.400000000001</v>
      </c>
      <c r="BU245" s="145">
        <f>SUM(BU243:BU244)</f>
        <v>71306</v>
      </c>
      <c r="BV245" s="32">
        <f>SUM(BV243:BV244)</f>
        <v>1420</v>
      </c>
      <c r="BW245" s="595">
        <f>SUM(BW243:BW244)</f>
        <v>72726</v>
      </c>
      <c r="BX245" s="596">
        <f>IF(BU245=0," ",(BW245-BU245)/BU245)</f>
        <v>1.9914172720388187E-2</v>
      </c>
      <c r="BZ245" s="597">
        <f>SUM(BZ243:BZ244)</f>
        <v>72726</v>
      </c>
      <c r="CA245" s="597">
        <f>SUM(CA243:CA244)</f>
        <v>72726</v>
      </c>
      <c r="CC245" s="770"/>
      <c r="CE245" s="597">
        <f>SUM(CE243:CE244)</f>
        <v>72726</v>
      </c>
      <c r="CF245" s="597">
        <f>SUM(CF243:CF244)</f>
        <v>0</v>
      </c>
      <c r="CJ245" s="886"/>
      <c r="CK245" s="1"/>
      <c r="CO245" s="16"/>
    </row>
    <row r="246" spans="1:93" x14ac:dyDescent="0.3">
      <c r="A246" s="12"/>
      <c r="H246" s="26"/>
      <c r="R246" s="26"/>
      <c r="S246" s="26"/>
      <c r="AE246" s="26"/>
      <c r="AH246" s="26"/>
      <c r="AR246" s="26"/>
      <c r="AS246" s="26"/>
      <c r="AU246" s="26"/>
      <c r="BE246" s="26"/>
      <c r="BF246" s="26"/>
      <c r="BH246" s="26"/>
      <c r="BM246" s="26"/>
      <c r="BN246" s="26"/>
      <c r="BR246" s="26"/>
      <c r="BU246" s="26"/>
      <c r="BZ246" s="589"/>
      <c r="CA246" s="589"/>
      <c r="CE246" s="589"/>
      <c r="CF246" s="589"/>
      <c r="CJ246" s="886"/>
      <c r="CK246" s="1"/>
      <c r="CO246" s="16"/>
    </row>
    <row r="247" spans="1:93" x14ac:dyDescent="0.3">
      <c r="A247" s="12">
        <v>171</v>
      </c>
      <c r="B247" s="3" t="s">
        <v>2</v>
      </c>
      <c r="C247" s="37">
        <v>17102</v>
      </c>
      <c r="D247" s="37">
        <v>51140</v>
      </c>
      <c r="E247" s="49" t="s">
        <v>11</v>
      </c>
      <c r="F247" s="3" t="s">
        <v>2</v>
      </c>
      <c r="G247" s="3" t="s">
        <v>1060</v>
      </c>
      <c r="H247" s="26">
        <v>18481</v>
      </c>
      <c r="I247" s="244">
        <v>267.08</v>
      </c>
      <c r="J247" s="16">
        <f>H247+I247</f>
        <v>18748.080000000002</v>
      </c>
      <c r="K247" s="122">
        <f>IF(H247=0," ",(J247-H247)/H247)</f>
        <v>1.4451598939451422E-2</v>
      </c>
      <c r="M247" s="117">
        <v>18749</v>
      </c>
      <c r="N247" s="117">
        <v>18749</v>
      </c>
      <c r="P247" s="259" t="s">
        <v>514</v>
      </c>
      <c r="R247" s="26">
        <v>18749</v>
      </c>
      <c r="S247" s="26">
        <v>17787.919999999998</v>
      </c>
      <c r="U247" s="26">
        <v>18749</v>
      </c>
      <c r="V247" s="244">
        <v>898</v>
      </c>
      <c r="W247" s="16">
        <f>U247+V247</f>
        <v>19647</v>
      </c>
      <c r="X247" s="122">
        <f>IF(U247=0," ",(W247-U247)/U247)</f>
        <v>4.7895887780681635E-2</v>
      </c>
      <c r="Z247" s="117">
        <v>19647</v>
      </c>
      <c r="AA247" s="117">
        <v>19647</v>
      </c>
      <c r="AC247" s="259" t="s">
        <v>659</v>
      </c>
      <c r="AE247" s="26">
        <v>19647</v>
      </c>
      <c r="AF247" s="200">
        <v>22939.8</v>
      </c>
      <c r="AH247" s="26">
        <v>19647</v>
      </c>
      <c r="AI247" s="244">
        <v>4593</v>
      </c>
      <c r="AJ247" s="16">
        <f>AH247+AI247</f>
        <v>24240</v>
      </c>
      <c r="AK247" s="122">
        <f>IF(AH247=0," ",(AJ247-AH247)/AH247)</f>
        <v>0.23377614903038632</v>
      </c>
      <c r="AM247" s="117">
        <v>24240</v>
      </c>
      <c r="AN247" s="117">
        <v>24240</v>
      </c>
      <c r="AP247" s="259" t="s">
        <v>787</v>
      </c>
      <c r="AR247" s="26">
        <v>24240</v>
      </c>
      <c r="AS247" s="26">
        <v>24239.89</v>
      </c>
      <c r="AU247" s="26">
        <f>AR247</f>
        <v>24240</v>
      </c>
      <c r="AV247" s="244">
        <v>1044</v>
      </c>
      <c r="AW247" s="16">
        <f>AU247+AV247</f>
        <v>25284</v>
      </c>
      <c r="AX247" s="122">
        <f>IF(AU247=0," ",(AW247-AU247)/AU247)</f>
        <v>4.3069306930693066E-2</v>
      </c>
      <c r="AZ247" s="117">
        <v>25186</v>
      </c>
      <c r="BA247" s="117">
        <v>24786</v>
      </c>
      <c r="BC247" s="266" t="s">
        <v>1072</v>
      </c>
      <c r="BE247" s="26">
        <v>24786</v>
      </c>
      <c r="BF247" s="26">
        <v>24785.98</v>
      </c>
      <c r="BH247" s="26">
        <v>24786</v>
      </c>
      <c r="BI247" s="244">
        <v>505</v>
      </c>
      <c r="BJ247" s="16">
        <f>BH247+BI247</f>
        <v>25291</v>
      </c>
      <c r="BK247" s="122">
        <f>IF(BH247=0," ",(BJ247-BH247)/BH247)</f>
        <v>2.0374404905995319E-2</v>
      </c>
      <c r="BM247" s="117">
        <v>25291</v>
      </c>
      <c r="BN247" s="117">
        <v>25291</v>
      </c>
      <c r="BP247" s="428" t="s">
        <v>1299</v>
      </c>
      <c r="BR247" s="117">
        <v>25291</v>
      </c>
      <c r="BS247" s="26">
        <v>11299.44</v>
      </c>
      <c r="BU247" s="26">
        <v>25291</v>
      </c>
      <c r="BV247" s="244">
        <v>390</v>
      </c>
      <c r="BW247" s="576">
        <f>BU247+BV247</f>
        <v>25681</v>
      </c>
      <c r="BX247" s="577">
        <f>IF(BU247=0," ",(BW247-BU247)/BU247)</f>
        <v>1.5420505318097346E-2</v>
      </c>
      <c r="BZ247" s="166">
        <v>25681</v>
      </c>
      <c r="CA247" s="166">
        <v>25681</v>
      </c>
      <c r="CC247" s="765" t="s">
        <v>1323</v>
      </c>
      <c r="CE247" s="166">
        <v>25681</v>
      </c>
      <c r="CF247" s="166"/>
      <c r="CJ247" s="886"/>
      <c r="CK247" s="1"/>
      <c r="CO247" s="16"/>
    </row>
    <row r="248" spans="1:93" x14ac:dyDescent="0.3">
      <c r="A248" s="12">
        <v>171</v>
      </c>
      <c r="B248" s="3" t="s">
        <v>2</v>
      </c>
      <c r="C248" s="37">
        <v>17102</v>
      </c>
      <c r="D248" s="37">
        <v>51143</v>
      </c>
      <c r="E248" s="49" t="s">
        <v>11</v>
      </c>
      <c r="F248" s="3" t="s">
        <v>2</v>
      </c>
      <c r="G248" s="3" t="s">
        <v>310</v>
      </c>
      <c r="H248" s="26">
        <v>0</v>
      </c>
      <c r="I248" s="245"/>
      <c r="J248" s="16">
        <f>H248+I248</f>
        <v>0</v>
      </c>
      <c r="K248" s="122" t="str">
        <f>IF(H248=0," ",(J248-H248)/H248)</f>
        <v xml:space="preserve"> </v>
      </c>
      <c r="M248" s="118"/>
      <c r="N248" s="118"/>
      <c r="P248" s="137"/>
      <c r="R248" s="144"/>
      <c r="S248" s="144"/>
      <c r="U248" s="144"/>
      <c r="V248" s="245">
        <v>0</v>
      </c>
      <c r="W248" s="16">
        <f>U248+V248</f>
        <v>0</v>
      </c>
      <c r="X248" s="122" t="str">
        <f>IF(U248=0," ",(W248-U248)/U248)</f>
        <v xml:space="preserve"> </v>
      </c>
      <c r="Z248" s="118">
        <v>0</v>
      </c>
      <c r="AA248" s="118">
        <v>0</v>
      </c>
      <c r="AC248" s="137"/>
      <c r="AE248" s="144">
        <v>0</v>
      </c>
      <c r="AF248" s="271">
        <v>0</v>
      </c>
      <c r="AH248" s="144">
        <v>0</v>
      </c>
      <c r="AI248" s="245"/>
      <c r="AJ248" s="16">
        <f>AH248+AI248</f>
        <v>0</v>
      </c>
      <c r="AK248" s="122" t="str">
        <f>IF(AH248=0," ",(AJ248-AH248)/AH248)</f>
        <v xml:space="preserve"> </v>
      </c>
      <c r="AM248" s="118">
        <v>0</v>
      </c>
      <c r="AN248" s="117">
        <v>0</v>
      </c>
      <c r="AP248" s="137"/>
      <c r="AR248" s="26">
        <v>0</v>
      </c>
      <c r="AS248" s="26"/>
      <c r="AU248" s="26">
        <f>AR248</f>
        <v>0</v>
      </c>
      <c r="AV248" s="245"/>
      <c r="AW248" s="16">
        <f>AU248+AV248</f>
        <v>0</v>
      </c>
      <c r="AX248" s="122" t="str">
        <f>IF(AU248=0," ",(AW248-AU248)/AU248)</f>
        <v xml:space="preserve"> </v>
      </c>
      <c r="AZ248" s="117"/>
      <c r="BA248" s="117"/>
      <c r="BC248" s="137"/>
      <c r="BE248" s="26"/>
      <c r="BF248" s="26"/>
      <c r="BH248" s="26"/>
      <c r="BI248" s="245"/>
      <c r="BJ248" s="16">
        <f>BH248+BI248</f>
        <v>0</v>
      </c>
      <c r="BK248" s="122" t="str">
        <f>IF(BH248=0," ",(BJ248-BH248)/BH248)</f>
        <v xml:space="preserve"> </v>
      </c>
      <c r="BM248" s="117"/>
      <c r="BN248" s="117"/>
      <c r="BP248" s="137"/>
      <c r="BR248" s="117"/>
      <c r="BS248" s="144"/>
      <c r="BU248" s="26"/>
      <c r="BV248" s="245"/>
      <c r="BW248" s="576">
        <f>BU248+BV248</f>
        <v>0</v>
      </c>
      <c r="BX248" s="577" t="str">
        <f>IF(BU248=0," ",(BW248-BU248)/BU248)</f>
        <v xml:space="preserve"> </v>
      </c>
      <c r="BZ248" s="166">
        <v>0</v>
      </c>
      <c r="CA248" s="166">
        <v>0</v>
      </c>
      <c r="CC248" s="767"/>
      <c r="CE248" s="166">
        <v>0</v>
      </c>
      <c r="CF248" s="166"/>
      <c r="CJ248" s="886"/>
      <c r="CK248" s="1"/>
      <c r="CO248" s="16"/>
    </row>
    <row r="249" spans="1:93" x14ac:dyDescent="0.3">
      <c r="A249" s="12"/>
      <c r="H249" s="145">
        <f t="shared" ref="H249" si="127">SUM(H247:H248)</f>
        <v>18481</v>
      </c>
      <c r="I249" s="32">
        <f>SUM(I247:I248)</f>
        <v>267.08</v>
      </c>
      <c r="J249" s="32">
        <f>SUM(J247:J248)</f>
        <v>18748.080000000002</v>
      </c>
      <c r="K249" s="128">
        <f>IF(H249=0," ",(J249-H249)/H249)</f>
        <v>1.4451598939451422E-2</v>
      </c>
      <c r="M249" s="32">
        <f>SUM(M247:M248)</f>
        <v>18749</v>
      </c>
      <c r="N249" s="32">
        <f>SUM(N247:N248)</f>
        <v>18749</v>
      </c>
      <c r="P249" s="141">
        <f>SUM(P247:P248)</f>
        <v>0</v>
      </c>
      <c r="R249" s="32">
        <f>SUM(R247:R248)</f>
        <v>18749</v>
      </c>
      <c r="S249" s="32">
        <f>SUM(S247:S248)</f>
        <v>17787.919999999998</v>
      </c>
      <c r="U249" s="32">
        <f>SUM(U247:U248)</f>
        <v>18749</v>
      </c>
      <c r="V249" s="32">
        <f>SUM(V247:V248)</f>
        <v>898</v>
      </c>
      <c r="W249" s="32">
        <f>SUM(W247:W248)</f>
        <v>19647</v>
      </c>
      <c r="X249" s="128">
        <f>IF(U249=0," ",(W249-U249)/U249)</f>
        <v>4.7895887780681635E-2</v>
      </c>
      <c r="Z249" s="32">
        <f>SUM(Z247:Z248)</f>
        <v>19647</v>
      </c>
      <c r="AA249" s="32">
        <f>SUM(AA247:AA248)</f>
        <v>19647</v>
      </c>
      <c r="AC249" s="141"/>
      <c r="AE249" s="32">
        <f>SUM(AE247:AE248)</f>
        <v>19647</v>
      </c>
      <c r="AF249" s="202">
        <f>SUM(AF247:AF248)</f>
        <v>22939.8</v>
      </c>
      <c r="AH249" s="32">
        <v>19647</v>
      </c>
      <c r="AI249" s="32">
        <f>SUM(AI247:AI248)</f>
        <v>4593</v>
      </c>
      <c r="AJ249" s="32">
        <f>SUM(AJ247:AJ248)</f>
        <v>24240</v>
      </c>
      <c r="AK249" s="128">
        <f>IF(AH249=0," ",(AJ249-AH249)/AH249)</f>
        <v>0.23377614903038632</v>
      </c>
      <c r="AM249" s="32">
        <f>SUM(AM247:AM248)</f>
        <v>24240</v>
      </c>
      <c r="AN249" s="32">
        <f>SUM(AN247:AN248)</f>
        <v>24240</v>
      </c>
      <c r="AP249" s="141"/>
      <c r="AR249" s="145">
        <f>SUM(AR247:AR248)</f>
        <v>24240</v>
      </c>
      <c r="AS249" s="145">
        <f>SUM(AS247:AS248)</f>
        <v>24239.89</v>
      </c>
      <c r="AU249" s="145">
        <f>SUM(AU247:AU248)</f>
        <v>24240</v>
      </c>
      <c r="AV249" s="32">
        <f>SUM(AV247:AV248)</f>
        <v>1044</v>
      </c>
      <c r="AW249" s="32">
        <f>SUM(AW247:AW248)</f>
        <v>25284</v>
      </c>
      <c r="AX249" s="128">
        <f>IF(AU249=0," ",(AW249-AU249)/AU249)</f>
        <v>4.3069306930693066E-2</v>
      </c>
      <c r="AZ249" s="32">
        <f>SUM(AZ247:AZ248)</f>
        <v>25186</v>
      </c>
      <c r="BA249" s="32">
        <f>SUM(BA247:BA248)</f>
        <v>24786</v>
      </c>
      <c r="BC249" s="141"/>
      <c r="BE249" s="145">
        <f>SUM(BE247:BE248)</f>
        <v>24786</v>
      </c>
      <c r="BF249" s="145">
        <f>SUM(BF247:BF248)</f>
        <v>24785.98</v>
      </c>
      <c r="BH249" s="145">
        <f>SUM(BH247:BH248)</f>
        <v>24786</v>
      </c>
      <c r="BI249" s="32">
        <f>SUM(BI247:BI248)</f>
        <v>505</v>
      </c>
      <c r="BJ249" s="32">
        <f>SUM(BJ247:BJ248)</f>
        <v>25291</v>
      </c>
      <c r="BK249" s="128">
        <f>IF(BH249=0," ",(BJ249-BH249)/BH249)</f>
        <v>2.0374404905995319E-2</v>
      </c>
      <c r="BM249" s="145">
        <f>SUM(BM247:BM248)</f>
        <v>25291</v>
      </c>
      <c r="BN249" s="145">
        <f>SUM(BN247:BN248)</f>
        <v>25291</v>
      </c>
      <c r="BP249" s="141"/>
      <c r="BR249" s="145">
        <f>SUM(BR247:BR248)</f>
        <v>25291</v>
      </c>
      <c r="BS249" s="145">
        <f>SUM(BS247:BS248)</f>
        <v>11299.44</v>
      </c>
      <c r="BU249" s="145">
        <f>SUM(BU247:BU248)</f>
        <v>25291</v>
      </c>
      <c r="BV249" s="32">
        <f>SUM(BV247:BV248)</f>
        <v>390</v>
      </c>
      <c r="BW249" s="595">
        <f>SUM(BW247:BW248)</f>
        <v>25681</v>
      </c>
      <c r="BX249" s="596">
        <f>IF(BU249=0," ",(BW249-BU249)/BU249)</f>
        <v>1.5420505318097346E-2</v>
      </c>
      <c r="BZ249" s="597">
        <f>SUM(BZ247:BZ248)</f>
        <v>25681</v>
      </c>
      <c r="CA249" s="597">
        <f>SUM(CA247:CA248)</f>
        <v>25681</v>
      </c>
      <c r="CC249" s="770"/>
      <c r="CE249" s="597">
        <f>SUM(CE247:CE248)</f>
        <v>25681</v>
      </c>
      <c r="CF249" s="597">
        <f>SUM(CF247:CF248)</f>
        <v>0</v>
      </c>
      <c r="CJ249" s="886"/>
      <c r="CK249" s="1"/>
      <c r="CO249" s="16"/>
    </row>
    <row r="250" spans="1:93" x14ac:dyDescent="0.3">
      <c r="AR250" s="26"/>
      <c r="AS250" s="16"/>
      <c r="CJ250" s="886"/>
      <c r="CK250" s="1"/>
      <c r="CO250" s="16"/>
    </row>
    <row r="251" spans="1:93" s="19" customFormat="1" x14ac:dyDescent="0.3">
      <c r="A251" s="27"/>
      <c r="B251" s="8"/>
      <c r="C251" s="42"/>
      <c r="D251" s="42"/>
      <c r="E251" s="54"/>
      <c r="F251" s="8"/>
      <c r="G251" s="56" t="s">
        <v>128</v>
      </c>
      <c r="H251" s="28">
        <f t="shared" ref="H251" si="128">H245+H249</f>
        <v>93437</v>
      </c>
      <c r="I251" s="28">
        <f>I245+I249</f>
        <v>-1283.8800000000001</v>
      </c>
      <c r="J251" s="28">
        <f>J245+J249</f>
        <v>92153.12</v>
      </c>
      <c r="K251" s="123">
        <f>IF(H251=0," ",(J251-H251)/H251)</f>
        <v>-1.3740595267399474E-2</v>
      </c>
      <c r="M251" s="28">
        <f>M245+M249</f>
        <v>80421</v>
      </c>
      <c r="N251" s="28">
        <f>N245+N249</f>
        <v>80421</v>
      </c>
      <c r="P251" s="139">
        <f>P245+P249</f>
        <v>0</v>
      </c>
      <c r="R251" s="28">
        <f>R245+R249</f>
        <v>80421</v>
      </c>
      <c r="S251" s="28">
        <f>S245+S249</f>
        <v>79013.73</v>
      </c>
      <c r="U251" s="28">
        <f>U245+U249</f>
        <v>80421</v>
      </c>
      <c r="V251" s="28">
        <f>V245+V249</f>
        <v>3873</v>
      </c>
      <c r="W251" s="28">
        <f>W245+W249</f>
        <v>84294</v>
      </c>
      <c r="X251" s="123">
        <f>IF(U251=0," ",(W251-U251)/U251)</f>
        <v>4.8159062931323909E-2</v>
      </c>
      <c r="Z251" s="28">
        <f>Z245+Z249</f>
        <v>84294</v>
      </c>
      <c r="AA251" s="28">
        <f>AA245+AA249</f>
        <v>84294</v>
      </c>
      <c r="AC251" s="139"/>
      <c r="AE251" s="28">
        <f>AE245+AE249</f>
        <v>84294</v>
      </c>
      <c r="AF251" s="201">
        <f>AF245+AF249</f>
        <v>87586.2</v>
      </c>
      <c r="AH251" s="28">
        <v>84294</v>
      </c>
      <c r="AI251" s="28">
        <f>AI245+AI249</f>
        <v>8192</v>
      </c>
      <c r="AJ251" s="28">
        <f>AJ245+AJ249</f>
        <v>92486</v>
      </c>
      <c r="AK251" s="123">
        <f>IF(AH251=0," ",(AJ251-AH251)/AH251)</f>
        <v>9.7183666690393147E-2</v>
      </c>
      <c r="AM251" s="28">
        <f>AM245+AM249</f>
        <v>92486</v>
      </c>
      <c r="AN251" s="28">
        <f>AN245+AN249</f>
        <v>92486</v>
      </c>
      <c r="AP251" s="139"/>
      <c r="AR251" s="28">
        <f>AR245+AR249</f>
        <v>92486</v>
      </c>
      <c r="AS251" s="28">
        <f>AS245+AS249</f>
        <v>92485.65</v>
      </c>
      <c r="AU251" s="28">
        <f>AU245+AU249</f>
        <v>92486</v>
      </c>
      <c r="AV251" s="28">
        <f>AV245+AV249</f>
        <v>4104</v>
      </c>
      <c r="AW251" s="28">
        <f>AW245+AW249</f>
        <v>96590</v>
      </c>
      <c r="AX251" s="123">
        <f>IF(AU251=0," ",(AW251-AU251)/AU251)</f>
        <v>4.4374283675367082E-2</v>
      </c>
      <c r="AZ251" s="28">
        <f>AZ245+AZ249</f>
        <v>96220</v>
      </c>
      <c r="BA251" s="28">
        <f>BA245+BA249</f>
        <v>94693</v>
      </c>
      <c r="BC251" s="139"/>
      <c r="BE251" s="28">
        <f>BE245+BE249</f>
        <v>94693</v>
      </c>
      <c r="BF251" s="28">
        <f>BF245+BF249</f>
        <v>94692.22</v>
      </c>
      <c r="BG251" s="9"/>
      <c r="BH251" s="28">
        <f>BH245+BH249</f>
        <v>94693</v>
      </c>
      <c r="BI251" s="28">
        <f>BI245+BI249</f>
        <v>1904</v>
      </c>
      <c r="BJ251" s="28">
        <f>BJ245+BJ249</f>
        <v>96597</v>
      </c>
      <c r="BK251" s="123">
        <f>IF(BH251=0," ",(BJ251-BH251)/BH251)</f>
        <v>2.0107082888914704E-2</v>
      </c>
      <c r="BM251" s="28">
        <f>BM245+BM249</f>
        <v>96597</v>
      </c>
      <c r="BN251" s="28">
        <f>BN245+BN249</f>
        <v>96597</v>
      </c>
      <c r="BP251" s="139"/>
      <c r="BR251" s="28">
        <f>BR245+BR249</f>
        <v>96597</v>
      </c>
      <c r="BS251" s="28">
        <f>BS245+BS249</f>
        <v>43263.840000000004</v>
      </c>
      <c r="BT251" s="9"/>
      <c r="BU251" s="28">
        <f>BU245+BU249</f>
        <v>96597</v>
      </c>
      <c r="BV251" s="532">
        <f>BV245+BV249</f>
        <v>1810</v>
      </c>
      <c r="BW251" s="591">
        <f>BW245+BW249</f>
        <v>98407</v>
      </c>
      <c r="BX251" s="579">
        <f>IF(BU251=0," ",(BW251-BU251)/BU251)</f>
        <v>1.8737641955754319E-2</v>
      </c>
      <c r="BY251" s="580"/>
      <c r="BZ251" s="591">
        <f>BZ245+BZ249</f>
        <v>98407</v>
      </c>
      <c r="CA251" s="591">
        <f>CA245+CA249</f>
        <v>98407</v>
      </c>
      <c r="CB251" s="580"/>
      <c r="CC251" s="769"/>
      <c r="CD251" s="580"/>
      <c r="CE251" s="591">
        <f>CE245+CE249</f>
        <v>98407</v>
      </c>
      <c r="CF251" s="591">
        <f>CF245+CF249</f>
        <v>0</v>
      </c>
      <c r="CG251" s="9"/>
      <c r="CH251" s="815"/>
      <c r="CI251" s="815"/>
      <c r="CJ251" s="886"/>
      <c r="CK251" s="1"/>
      <c r="CO251" s="16"/>
    </row>
    <row r="252" spans="1:93" ht="9.9" customHeight="1" x14ac:dyDescent="0.3">
      <c r="A252" s="831"/>
      <c r="AS252" s="16"/>
      <c r="CJ252" s="886"/>
      <c r="CK252" s="1"/>
      <c r="CO252" s="16"/>
    </row>
    <row r="253" spans="1:93" s="1" customFormat="1" x14ac:dyDescent="0.3">
      <c r="A253" s="20"/>
      <c r="B253" s="5"/>
      <c r="C253" s="39"/>
      <c r="D253" s="39"/>
      <c r="E253" s="51"/>
      <c r="F253" s="5"/>
      <c r="G253" s="21" t="s">
        <v>129</v>
      </c>
      <c r="H253" s="22">
        <f t="shared" ref="H253" si="129">H251</f>
        <v>93437</v>
      </c>
      <c r="I253" s="22">
        <f>I251</f>
        <v>-1283.8800000000001</v>
      </c>
      <c r="J253" s="22">
        <f>J251</f>
        <v>92153.12</v>
      </c>
      <c r="K253" s="124">
        <f>IF(H253=0," ",(J253-H253)/H253)</f>
        <v>-1.3740595267399474E-2</v>
      </c>
      <c r="M253" s="22">
        <f>M251</f>
        <v>80421</v>
      </c>
      <c r="N253" s="22">
        <f>N251</f>
        <v>80421</v>
      </c>
      <c r="P253" s="136">
        <f>P251</f>
        <v>0</v>
      </c>
      <c r="R253" s="22">
        <f>R251</f>
        <v>80421</v>
      </c>
      <c r="S253" s="22">
        <f>S251</f>
        <v>79013.73</v>
      </c>
      <c r="U253" s="22">
        <f>U251</f>
        <v>80421</v>
      </c>
      <c r="V253" s="22">
        <f>V251</f>
        <v>3873</v>
      </c>
      <c r="W253" s="22">
        <f>W251</f>
        <v>84294</v>
      </c>
      <c r="X253" s="124">
        <f>IF(U253=0," ",(W253-U253)/U253)</f>
        <v>4.8159062931323909E-2</v>
      </c>
      <c r="Z253" s="22">
        <f>Z251</f>
        <v>84294</v>
      </c>
      <c r="AA253" s="22">
        <f>AA251</f>
        <v>84294</v>
      </c>
      <c r="AC253" s="136"/>
      <c r="AE253" s="22">
        <f>AE251</f>
        <v>84294</v>
      </c>
      <c r="AF253" s="199">
        <f>AF251</f>
        <v>87586.2</v>
      </c>
      <c r="AH253" s="22">
        <v>84294</v>
      </c>
      <c r="AI253" s="22">
        <f>AI251</f>
        <v>8192</v>
      </c>
      <c r="AJ253" s="22">
        <f>AJ251</f>
        <v>92486</v>
      </c>
      <c r="AK253" s="124">
        <f>IF(AH253=0," ",(AJ253-AH253)/AH253)</f>
        <v>9.7183666690393147E-2</v>
      </c>
      <c r="AM253" s="22">
        <f>AM251</f>
        <v>92486</v>
      </c>
      <c r="AN253" s="22">
        <f>AN251</f>
        <v>92486</v>
      </c>
      <c r="AP253" s="136"/>
      <c r="AR253" s="22">
        <f>AR251</f>
        <v>92486</v>
      </c>
      <c r="AS253" s="22">
        <f>AS251</f>
        <v>92485.65</v>
      </c>
      <c r="AU253" s="22">
        <f>AU251</f>
        <v>92486</v>
      </c>
      <c r="AV253" s="22">
        <f>AV251</f>
        <v>4104</v>
      </c>
      <c r="AW253" s="22">
        <f>AW251</f>
        <v>96590</v>
      </c>
      <c r="AX253" s="124">
        <f>IF(AU253=0," ",(AW253-AU253)/AU253)</f>
        <v>4.4374283675367082E-2</v>
      </c>
      <c r="AZ253" s="22">
        <f>AZ251</f>
        <v>96220</v>
      </c>
      <c r="BA253" s="22">
        <f>BA251</f>
        <v>94693</v>
      </c>
      <c r="BC253" s="136"/>
      <c r="BE253" s="22">
        <f>BE251</f>
        <v>94693</v>
      </c>
      <c r="BF253" s="22">
        <f>BF251</f>
        <v>94692.22</v>
      </c>
      <c r="BH253" s="22">
        <f>BH251</f>
        <v>94693</v>
      </c>
      <c r="BI253" s="22">
        <f>BI251</f>
        <v>1904</v>
      </c>
      <c r="BJ253" s="22">
        <f>BJ251</f>
        <v>96597</v>
      </c>
      <c r="BK253" s="124">
        <f>IF(BH253=0," ",(BJ253-BH253)/BH253)</f>
        <v>2.0107082888914704E-2</v>
      </c>
      <c r="BM253" s="22">
        <f>BM251</f>
        <v>96597</v>
      </c>
      <c r="BN253" s="22">
        <f>BN251</f>
        <v>96597</v>
      </c>
      <c r="BP253" s="136"/>
      <c r="BR253" s="22">
        <f>BR251</f>
        <v>96597</v>
      </c>
      <c r="BS253" s="22">
        <f>BS251</f>
        <v>43263.840000000004</v>
      </c>
      <c r="BU253" s="22">
        <f>BU251</f>
        <v>96597</v>
      </c>
      <c r="BV253" s="531">
        <f>BV251</f>
        <v>1810</v>
      </c>
      <c r="BW253" s="581">
        <f>BW251</f>
        <v>98407</v>
      </c>
      <c r="BX253" s="582">
        <f>IF(BU253=0," ",(BW253-BU253)/BU253)</f>
        <v>1.8737641955754319E-2</v>
      </c>
      <c r="BY253" s="573"/>
      <c r="BZ253" s="581">
        <f>BZ251</f>
        <v>98407</v>
      </c>
      <c r="CA253" s="581">
        <f>CA251</f>
        <v>98407</v>
      </c>
      <c r="CB253" s="573"/>
      <c r="CC253" s="764"/>
      <c r="CD253" s="573"/>
      <c r="CE253" s="581">
        <f>CE251</f>
        <v>98407</v>
      </c>
      <c r="CF253" s="581">
        <f>CF251</f>
        <v>0</v>
      </c>
      <c r="CH253" s="812"/>
      <c r="CI253" s="812"/>
      <c r="CJ253" s="886"/>
      <c r="CO253" s="16"/>
    </row>
    <row r="254" spans="1:93" ht="20.100000000000001" customHeight="1" x14ac:dyDescent="0.3">
      <c r="AS254" s="16"/>
      <c r="CJ254" s="886"/>
      <c r="CK254" s="1"/>
      <c r="CO254" s="16"/>
    </row>
    <row r="255" spans="1:93" s="1" customFormat="1" ht="15.6" x14ac:dyDescent="0.3">
      <c r="A255" s="14" t="s">
        <v>124</v>
      </c>
      <c r="B255" s="2"/>
      <c r="C255" s="36"/>
      <c r="D255" s="36"/>
      <c r="E255" s="48"/>
      <c r="F255" s="2"/>
      <c r="G255" s="2"/>
      <c r="H255" s="15"/>
      <c r="I255" s="15"/>
      <c r="J255" s="15"/>
      <c r="K255" s="121"/>
      <c r="M255" s="15"/>
      <c r="N255" s="15"/>
      <c r="P255" s="133"/>
      <c r="R255" s="15"/>
      <c r="S255" s="15"/>
      <c r="U255" s="15"/>
      <c r="V255" s="15"/>
      <c r="W255" s="15"/>
      <c r="X255" s="121"/>
      <c r="Z255" s="15"/>
      <c r="AA255" s="15"/>
      <c r="AC255" s="133"/>
      <c r="AE255" s="15"/>
      <c r="AF255" s="196"/>
      <c r="AH255" s="15"/>
      <c r="AI255" s="15"/>
      <c r="AJ255" s="15"/>
      <c r="AK255" s="121"/>
      <c r="AM255" s="15"/>
      <c r="AN255" s="15"/>
      <c r="AP255" s="133"/>
      <c r="AR255" s="15"/>
      <c r="AS255" s="15"/>
      <c r="AU255" s="15"/>
      <c r="AV255" s="15"/>
      <c r="AW255" s="15"/>
      <c r="AX255" s="121"/>
      <c r="AZ255" s="15"/>
      <c r="BA255" s="15"/>
      <c r="BC255" s="133"/>
      <c r="BE255" s="15"/>
      <c r="BF255" s="15"/>
      <c r="BH255" s="15"/>
      <c r="BI255" s="15"/>
      <c r="BJ255" s="15"/>
      <c r="BK255" s="121"/>
      <c r="BM255" s="15"/>
      <c r="BN255" s="15"/>
      <c r="BP255" s="234"/>
      <c r="BR255" s="15"/>
      <c r="BS255" s="15"/>
      <c r="BU255" s="15"/>
      <c r="BV255" s="529"/>
      <c r="BW255" s="574"/>
      <c r="BX255" s="575"/>
      <c r="BY255" s="573"/>
      <c r="BZ255" s="574"/>
      <c r="CA255" s="574"/>
      <c r="CB255" s="573"/>
      <c r="CC255" s="761"/>
      <c r="CD255" s="573"/>
      <c r="CE255" s="574"/>
      <c r="CF255" s="574"/>
      <c r="CH255" s="812"/>
      <c r="CI255" s="812"/>
      <c r="CJ255" s="886"/>
      <c r="CO255" s="16"/>
    </row>
    <row r="256" spans="1:93" x14ac:dyDescent="0.3">
      <c r="A256" s="11">
        <v>175</v>
      </c>
      <c r="B256" s="3" t="s">
        <v>2</v>
      </c>
      <c r="C256" s="37">
        <v>17501</v>
      </c>
      <c r="D256" s="37">
        <v>51110</v>
      </c>
      <c r="E256" s="49" t="s">
        <v>11</v>
      </c>
      <c r="F256" s="3" t="s">
        <v>2</v>
      </c>
      <c r="G256" s="3" t="s">
        <v>311</v>
      </c>
      <c r="H256" s="26">
        <v>5</v>
      </c>
      <c r="I256" s="244"/>
      <c r="J256" s="16">
        <f>H256+I256</f>
        <v>5</v>
      </c>
      <c r="K256" s="122">
        <f>IF(H256=0," ",(J256-H256)/H256)</f>
        <v>0</v>
      </c>
      <c r="M256" s="117">
        <v>5</v>
      </c>
      <c r="N256" s="117">
        <v>5</v>
      </c>
      <c r="P256" s="259"/>
      <c r="R256" s="26">
        <v>5</v>
      </c>
      <c r="S256" s="26">
        <v>0</v>
      </c>
      <c r="U256" s="26">
        <v>5</v>
      </c>
      <c r="V256" s="244">
        <v>0</v>
      </c>
      <c r="W256" s="16">
        <f>U256+V256</f>
        <v>5</v>
      </c>
      <c r="X256" s="122">
        <f>IF(U256=0," ",(W256-U256)/U256)</f>
        <v>0</v>
      </c>
      <c r="Z256" s="117">
        <v>5</v>
      </c>
      <c r="AA256" s="117">
        <v>5</v>
      </c>
      <c r="AC256" s="259"/>
      <c r="AE256" s="26">
        <v>5</v>
      </c>
      <c r="AF256" s="200">
        <v>0</v>
      </c>
      <c r="AH256" s="26">
        <v>5</v>
      </c>
      <c r="AI256" s="244"/>
      <c r="AJ256" s="16">
        <f>AH256+AI256</f>
        <v>5</v>
      </c>
      <c r="AK256" s="122">
        <f>IF(AH256=0," ",(AJ256-AH256)/AH256)</f>
        <v>0</v>
      </c>
      <c r="AM256" s="117">
        <v>5</v>
      </c>
      <c r="AN256" s="117">
        <v>5</v>
      </c>
      <c r="AP256" s="259"/>
      <c r="AR256" s="26">
        <v>5</v>
      </c>
      <c r="AS256" s="26">
        <v>0</v>
      </c>
      <c r="AU256" s="26">
        <f>AR256</f>
        <v>5</v>
      </c>
      <c r="AV256" s="244"/>
      <c r="AW256" s="16">
        <f>AU256+AV256</f>
        <v>5</v>
      </c>
      <c r="AX256" s="122">
        <f>IF(AU256=0," ",(AW256-AU256)/AU256)</f>
        <v>0</v>
      </c>
      <c r="AZ256" s="117">
        <v>5</v>
      </c>
      <c r="BA256" s="117">
        <v>5</v>
      </c>
      <c r="BC256" s="259"/>
      <c r="BE256" s="26">
        <v>5</v>
      </c>
      <c r="BF256" s="26">
        <v>0</v>
      </c>
      <c r="BH256" s="26">
        <v>5</v>
      </c>
      <c r="BI256" s="244"/>
      <c r="BJ256" s="16">
        <f>BH256+BI256</f>
        <v>5</v>
      </c>
      <c r="BK256" s="122">
        <f>IF(BH256=0," ",(BJ256-BH256)/BH256)</f>
        <v>0</v>
      </c>
      <c r="BM256" s="117">
        <v>5</v>
      </c>
      <c r="BN256" s="117">
        <v>5</v>
      </c>
      <c r="BP256" s="259"/>
      <c r="BR256" s="117">
        <v>5</v>
      </c>
      <c r="BS256" s="26"/>
      <c r="BU256" s="26">
        <v>5</v>
      </c>
      <c r="BV256" s="244"/>
      <c r="BW256" s="576">
        <f>BU256+BV256</f>
        <v>5</v>
      </c>
      <c r="BX256" s="577">
        <f>IF(BU256=0," ",(BW256-BU256)/BU256)</f>
        <v>0</v>
      </c>
      <c r="BZ256" s="166">
        <v>5</v>
      </c>
      <c r="CA256" s="166">
        <v>5</v>
      </c>
      <c r="CC256" s="753"/>
      <c r="CE256" s="166">
        <v>5</v>
      </c>
      <c r="CF256" s="166"/>
      <c r="CJ256" s="886"/>
      <c r="CK256" s="1"/>
      <c r="CO256" s="16"/>
    </row>
    <row r="257" spans="1:93" x14ac:dyDescent="0.3">
      <c r="A257" s="11">
        <v>175</v>
      </c>
      <c r="B257" s="3" t="s">
        <v>2</v>
      </c>
      <c r="C257" s="37">
        <v>17501</v>
      </c>
      <c r="D257" s="37">
        <v>51121</v>
      </c>
      <c r="E257" s="49" t="s">
        <v>11</v>
      </c>
      <c r="F257" s="3" t="s">
        <v>2</v>
      </c>
      <c r="G257" s="3" t="s">
        <v>312</v>
      </c>
      <c r="H257" s="26">
        <v>5202</v>
      </c>
      <c r="I257" s="244">
        <v>104</v>
      </c>
      <c r="J257" s="16">
        <f>H257+I257</f>
        <v>5306</v>
      </c>
      <c r="K257" s="122">
        <f>IF(H257=0," ",(J257-H257)/H257)</f>
        <v>1.9992310649750097E-2</v>
      </c>
      <c r="M257" s="117">
        <v>0</v>
      </c>
      <c r="N257" s="117">
        <v>0</v>
      </c>
      <c r="P257" s="259" t="s">
        <v>625</v>
      </c>
      <c r="R257" s="26">
        <v>0</v>
      </c>
      <c r="S257" s="26">
        <v>0</v>
      </c>
      <c r="U257" s="26">
        <v>0</v>
      </c>
      <c r="V257" s="244">
        <v>0</v>
      </c>
      <c r="W257" s="16">
        <f>U257+V257</f>
        <v>0</v>
      </c>
      <c r="X257" s="122" t="str">
        <f>IF(U257=0," ",(W257-U257)/U257)</f>
        <v xml:space="preserve"> </v>
      </c>
      <c r="Z257" s="117">
        <v>0</v>
      </c>
      <c r="AA257" s="117">
        <v>0</v>
      </c>
      <c r="AC257" s="259"/>
      <c r="AE257" s="26">
        <v>0</v>
      </c>
      <c r="AF257" s="200">
        <v>0</v>
      </c>
      <c r="AH257" s="26">
        <v>0</v>
      </c>
      <c r="AI257" s="244"/>
      <c r="AJ257" s="16">
        <f>AH257+AI257</f>
        <v>0</v>
      </c>
      <c r="AK257" s="122" t="str">
        <f>IF(AH257=0," ",(AJ257-AH257)/AH257)</f>
        <v xml:space="preserve"> </v>
      </c>
      <c r="AM257" s="117">
        <v>0</v>
      </c>
      <c r="AN257" s="117">
        <v>0</v>
      </c>
      <c r="AP257" s="259"/>
      <c r="AR257" s="26">
        <v>0</v>
      </c>
      <c r="AS257" s="26"/>
      <c r="AU257" s="26">
        <f>AR257</f>
        <v>0</v>
      </c>
      <c r="AV257" s="244"/>
      <c r="AW257" s="16">
        <f>AU257+AV257</f>
        <v>0</v>
      </c>
      <c r="AX257" s="122" t="str">
        <f>IF(AU257=0," ",(AW257-AU257)/AU257)</f>
        <v xml:space="preserve"> </v>
      </c>
      <c r="AZ257" s="117"/>
      <c r="BA257" s="117"/>
      <c r="BC257" s="259"/>
      <c r="BE257" s="26"/>
      <c r="BF257" s="26"/>
      <c r="BH257" s="26"/>
      <c r="BI257" s="244"/>
      <c r="BJ257" s="16">
        <f>BH257+BI257</f>
        <v>0</v>
      </c>
      <c r="BK257" s="122" t="str">
        <f>IF(BH257=0," ",(BJ257-BH257)/BH257)</f>
        <v xml:space="preserve"> </v>
      </c>
      <c r="BM257" s="117"/>
      <c r="BN257" s="117"/>
      <c r="BP257" s="259"/>
      <c r="BR257" s="117"/>
      <c r="BS257" s="26"/>
      <c r="BU257" s="26"/>
      <c r="BV257" s="244"/>
      <c r="BW257" s="576">
        <f>BU257+BV257</f>
        <v>0</v>
      </c>
      <c r="BX257" s="577" t="str">
        <f>IF(BU257=0," ",(BW257-BU257)/BU257)</f>
        <v xml:space="preserve"> </v>
      </c>
      <c r="BZ257" s="166">
        <v>0</v>
      </c>
      <c r="CA257" s="166">
        <v>0</v>
      </c>
      <c r="CC257" s="753"/>
      <c r="CE257" s="166">
        <v>0</v>
      </c>
      <c r="CF257" s="166"/>
      <c r="CJ257" s="886"/>
      <c r="CK257" s="1"/>
      <c r="CO257" s="16"/>
    </row>
    <row r="258" spans="1:93" s="19" customFormat="1" x14ac:dyDescent="0.3">
      <c r="A258" s="27"/>
      <c r="B258" s="8"/>
      <c r="C258" s="42"/>
      <c r="D258" s="42"/>
      <c r="E258" s="54"/>
      <c r="F258" s="8"/>
      <c r="G258" s="8" t="s">
        <v>157</v>
      </c>
      <c r="H258" s="28">
        <f t="shared" ref="H258" si="130">SUM(H256:H257)</f>
        <v>5207</v>
      </c>
      <c r="I258" s="28">
        <f>SUM(I256:I257)</f>
        <v>104</v>
      </c>
      <c r="J258" s="28">
        <f>SUM(J256:J257)</f>
        <v>5311</v>
      </c>
      <c r="K258" s="123">
        <f>IF(H258=0," ",(J258-H258)/H258)</f>
        <v>1.9973113116957941E-2</v>
      </c>
      <c r="M258" s="28">
        <f>SUM(M256:M257)</f>
        <v>5</v>
      </c>
      <c r="N258" s="28">
        <f>SUM(N256:N257)</f>
        <v>5</v>
      </c>
      <c r="P258" s="139">
        <f>SUM(P256:P257)</f>
        <v>0</v>
      </c>
      <c r="R258" s="28">
        <f>SUM(R256:R257)</f>
        <v>5</v>
      </c>
      <c r="S258" s="28">
        <f>SUM(S256:S257)</f>
        <v>0</v>
      </c>
      <c r="U258" s="28">
        <f>SUM(U256:U257)</f>
        <v>5</v>
      </c>
      <c r="V258" s="28">
        <f>SUM(V256:V257)</f>
        <v>0</v>
      </c>
      <c r="W258" s="28">
        <f>SUM(W256:W257)</f>
        <v>5</v>
      </c>
      <c r="X258" s="123">
        <f>IF(U258=0," ",(W258-U258)/U258)</f>
        <v>0</v>
      </c>
      <c r="Z258" s="28">
        <f>SUM(Z256:Z257)</f>
        <v>5</v>
      </c>
      <c r="AA258" s="28">
        <f>SUM(AA256:AA257)</f>
        <v>5</v>
      </c>
      <c r="AC258" s="139"/>
      <c r="AE258" s="28">
        <f>SUM(AE256:AE257)</f>
        <v>5</v>
      </c>
      <c r="AF258" s="201">
        <f>SUM(AF256:AF257)</f>
        <v>0</v>
      </c>
      <c r="AH258" s="28">
        <v>5</v>
      </c>
      <c r="AI258" s="28">
        <f>SUM(AI256:AI257)</f>
        <v>0</v>
      </c>
      <c r="AJ258" s="28">
        <f>SUM(AJ256:AJ257)</f>
        <v>5</v>
      </c>
      <c r="AK258" s="123">
        <f>IF(AH258=0," ",(AJ258-AH258)/AH258)</f>
        <v>0</v>
      </c>
      <c r="AM258" s="28">
        <f>SUM(AM256:AM257)</f>
        <v>5</v>
      </c>
      <c r="AN258" s="28">
        <f>SUM(AN256:AN257)</f>
        <v>5</v>
      </c>
      <c r="AP258" s="139"/>
      <c r="AR258" s="28">
        <f>SUM(AR256:AR257)</f>
        <v>5</v>
      </c>
      <c r="AS258" s="28">
        <f>SUM(AS256:AS257)</f>
        <v>0</v>
      </c>
      <c r="AU258" s="28">
        <f>SUM(AU256:AU257)</f>
        <v>5</v>
      </c>
      <c r="AV258" s="28">
        <f>SUM(AV256:AV257)</f>
        <v>0</v>
      </c>
      <c r="AW258" s="28">
        <f>SUM(AW256:AW257)</f>
        <v>5</v>
      </c>
      <c r="AX258" s="123">
        <f>IF(AU258=0," ",(AW258-AU258)/AU258)</f>
        <v>0</v>
      </c>
      <c r="AZ258" s="28">
        <f>SUM(AZ256:AZ257)</f>
        <v>5</v>
      </c>
      <c r="BA258" s="28">
        <f>SUM(BA256:BA257)</f>
        <v>5</v>
      </c>
      <c r="BC258" s="139"/>
      <c r="BE258" s="28">
        <f>SUM(BE256:BE257)</f>
        <v>5</v>
      </c>
      <c r="BF258" s="28">
        <f>SUM(BF256:BF257)</f>
        <v>0</v>
      </c>
      <c r="BG258" s="9"/>
      <c r="BH258" s="28">
        <f>SUM(BH256:BH257)</f>
        <v>5</v>
      </c>
      <c r="BI258" s="28">
        <f>SUM(BI256:BI257)</f>
        <v>0</v>
      </c>
      <c r="BJ258" s="28">
        <f>SUM(BJ256:BJ257)</f>
        <v>5</v>
      </c>
      <c r="BK258" s="123">
        <f>IF(BH258=0," ",(BJ258-BH258)/BH258)</f>
        <v>0</v>
      </c>
      <c r="BM258" s="28">
        <f>SUM(BM256:BM257)</f>
        <v>5</v>
      </c>
      <c r="BN258" s="28">
        <f>SUM(BN256:BN257)</f>
        <v>5</v>
      </c>
      <c r="BP258" s="139"/>
      <c r="BR258" s="28">
        <f>SUM(BR256:BR257)</f>
        <v>5</v>
      </c>
      <c r="BS258" s="28">
        <f>SUM(BS256:BS257)</f>
        <v>0</v>
      </c>
      <c r="BT258" s="9"/>
      <c r="BU258" s="28">
        <f>SUM(BU256:BU257)</f>
        <v>5</v>
      </c>
      <c r="BV258" s="532">
        <f>SUM(BV256:BV257)</f>
        <v>0</v>
      </c>
      <c r="BW258" s="591">
        <f>SUM(BW256:BW257)</f>
        <v>5</v>
      </c>
      <c r="BX258" s="579">
        <f>IF(BU258=0," ",(BW258-BU258)/BU258)</f>
        <v>0</v>
      </c>
      <c r="BY258" s="580"/>
      <c r="BZ258" s="591">
        <f>SUM(BZ256:BZ257)</f>
        <v>5</v>
      </c>
      <c r="CA258" s="591">
        <f>SUM(CA256:CA257)</f>
        <v>5</v>
      </c>
      <c r="CB258" s="580"/>
      <c r="CC258" s="769"/>
      <c r="CD258" s="580"/>
      <c r="CE258" s="591">
        <f>SUM(CE256:CE257)</f>
        <v>5</v>
      </c>
      <c r="CF258" s="591">
        <f>SUM(CF256:CF257)</f>
        <v>0</v>
      </c>
      <c r="CG258" s="9"/>
      <c r="CH258" s="815"/>
      <c r="CI258" s="815"/>
      <c r="CJ258" s="886"/>
      <c r="CK258" s="1"/>
      <c r="CO258" s="16"/>
    </row>
    <row r="259" spans="1:93" x14ac:dyDescent="0.3">
      <c r="H259" s="26"/>
      <c r="AS259" s="16"/>
      <c r="CJ259" s="886"/>
      <c r="CK259" s="1"/>
      <c r="CO259" s="16"/>
    </row>
    <row r="260" spans="1:93" x14ac:dyDescent="0.3">
      <c r="A260" s="11">
        <v>175</v>
      </c>
      <c r="B260" s="3" t="s">
        <v>2</v>
      </c>
      <c r="C260" s="37">
        <v>17505</v>
      </c>
      <c r="D260" s="37">
        <v>52800</v>
      </c>
      <c r="E260" s="49" t="s">
        <v>118</v>
      </c>
      <c r="F260" s="3" t="s">
        <v>2</v>
      </c>
      <c r="G260" s="3" t="s">
        <v>917</v>
      </c>
      <c r="H260" s="26">
        <v>370</v>
      </c>
      <c r="I260" s="244"/>
      <c r="J260" s="16">
        <f>H260+I260</f>
        <v>370</v>
      </c>
      <c r="K260" s="122">
        <f>IF(H260=0," ",(J260-H260)/H260)</f>
        <v>0</v>
      </c>
      <c r="M260" s="117">
        <v>370</v>
      </c>
      <c r="N260" s="117">
        <v>370</v>
      </c>
      <c r="P260" s="259" t="s">
        <v>564</v>
      </c>
      <c r="R260" s="26">
        <v>370</v>
      </c>
      <c r="S260" s="26">
        <v>0</v>
      </c>
      <c r="U260" s="26">
        <v>370</v>
      </c>
      <c r="V260" s="244">
        <v>0</v>
      </c>
      <c r="W260" s="16">
        <f>U260+V260</f>
        <v>370</v>
      </c>
      <c r="X260" s="122">
        <f>IF(U260=0," ",(W260-U260)/U260)</f>
        <v>0</v>
      </c>
      <c r="Z260" s="117">
        <v>370</v>
      </c>
      <c r="AA260" s="117">
        <v>370</v>
      </c>
      <c r="AC260" s="259"/>
      <c r="AE260" s="26">
        <v>370</v>
      </c>
      <c r="AF260" s="200">
        <v>278.24</v>
      </c>
      <c r="AH260" s="26"/>
      <c r="AI260" s="244"/>
      <c r="AJ260" s="16">
        <f>AH260+AI260</f>
        <v>0</v>
      </c>
      <c r="AK260" s="122" t="str">
        <f>IF(AH260=0," ",(AJ260-AH260)/AH260)</f>
        <v xml:space="preserve"> </v>
      </c>
      <c r="AM260" s="117"/>
      <c r="AN260" s="117"/>
      <c r="AP260" s="259"/>
      <c r="AR260" s="26"/>
      <c r="AS260" s="26"/>
      <c r="AU260" s="26">
        <f t="shared" ref="AU260:AU265" si="131">AR260</f>
        <v>0</v>
      </c>
      <c r="AV260" s="244"/>
      <c r="AW260" s="16">
        <f>AU260+AV260</f>
        <v>0</v>
      </c>
      <c r="AX260" s="122" t="str">
        <f>IF(AU260=0," ",(AW260-AU260)/AU260)</f>
        <v xml:space="preserve"> </v>
      </c>
      <c r="AZ260" s="117"/>
      <c r="BA260" s="117"/>
      <c r="BC260" s="259"/>
      <c r="BE260" s="26"/>
      <c r="BF260" s="26"/>
      <c r="BH260" s="26"/>
      <c r="BI260" s="244"/>
      <c r="BJ260" s="16">
        <f>BH260+BI260</f>
        <v>0</v>
      </c>
      <c r="BK260" s="122" t="str">
        <f>IF(BH260=0," ",(BJ260-BH260)/BH260)</f>
        <v xml:space="preserve"> </v>
      </c>
      <c r="BM260" s="117">
        <v>0</v>
      </c>
      <c r="BN260" s="117">
        <v>0</v>
      </c>
      <c r="BP260" s="259"/>
      <c r="BR260" s="117">
        <v>0</v>
      </c>
      <c r="BS260" s="26"/>
      <c r="BU260" s="26">
        <v>0</v>
      </c>
      <c r="BV260" s="244"/>
      <c r="BW260" s="576">
        <f>BU260+BV260</f>
        <v>0</v>
      </c>
      <c r="BX260" s="577" t="str">
        <f>IF(BU260=0," ",(BW260-BU260)/BU260)</f>
        <v xml:space="preserve"> </v>
      </c>
      <c r="BZ260" s="166">
        <v>0</v>
      </c>
      <c r="CA260" s="166">
        <v>0</v>
      </c>
      <c r="CC260" s="753"/>
      <c r="CE260" s="166">
        <v>0</v>
      </c>
      <c r="CF260" s="166"/>
      <c r="CJ260" s="886"/>
      <c r="CK260" s="1"/>
      <c r="CO260" s="16"/>
    </row>
    <row r="261" spans="1:93" x14ac:dyDescent="0.3">
      <c r="A261" s="11">
        <v>175</v>
      </c>
      <c r="B261" s="3" t="s">
        <v>2</v>
      </c>
      <c r="C261" s="37">
        <v>17505</v>
      </c>
      <c r="D261" s="37">
        <v>53430</v>
      </c>
      <c r="E261" s="49" t="s">
        <v>118</v>
      </c>
      <c r="F261" s="3" t="s">
        <v>2</v>
      </c>
      <c r="G261" s="3" t="s">
        <v>313</v>
      </c>
      <c r="H261" s="26">
        <v>370</v>
      </c>
      <c r="I261" s="244"/>
      <c r="J261" s="16">
        <f t="shared" ref="J261:J265" si="132">H261+I261</f>
        <v>370</v>
      </c>
      <c r="K261" s="122">
        <f t="shared" ref="K261:K265" si="133">IF(H261=0," ",(J261-H261)/H261)</f>
        <v>0</v>
      </c>
      <c r="M261" s="117">
        <v>370</v>
      </c>
      <c r="N261" s="117">
        <v>370</v>
      </c>
      <c r="P261" s="259" t="s">
        <v>564</v>
      </c>
      <c r="R261" s="26">
        <v>370</v>
      </c>
      <c r="S261" s="26">
        <v>0</v>
      </c>
      <c r="U261" s="26">
        <v>370</v>
      </c>
      <c r="V261" s="244">
        <v>0</v>
      </c>
      <c r="W261" s="16">
        <f t="shared" ref="W261:W265" si="134">U261+V261</f>
        <v>370</v>
      </c>
      <c r="X261" s="122">
        <f t="shared" ref="X261:X265" si="135">IF(U261=0," ",(W261-U261)/U261)</f>
        <v>0</v>
      </c>
      <c r="Z261" s="117">
        <v>370</v>
      </c>
      <c r="AA261" s="117">
        <v>370</v>
      </c>
      <c r="AC261" s="259"/>
      <c r="AE261" s="26">
        <v>370</v>
      </c>
      <c r="AF261" s="200">
        <v>5</v>
      </c>
      <c r="AH261" s="26">
        <v>370</v>
      </c>
      <c r="AI261" s="244"/>
      <c r="AJ261" s="16">
        <f t="shared" ref="AJ261:AJ265" si="136">AH261+AI261</f>
        <v>370</v>
      </c>
      <c r="AK261" s="122">
        <f t="shared" ref="AK261:AK265" si="137">IF(AH261=0," ",(AJ261-AH261)/AH261)</f>
        <v>0</v>
      </c>
      <c r="AM261" s="117">
        <v>370</v>
      </c>
      <c r="AN261" s="117">
        <v>370</v>
      </c>
      <c r="AP261" s="259"/>
      <c r="AR261" s="26">
        <v>370</v>
      </c>
      <c r="AS261" s="26">
        <v>9</v>
      </c>
      <c r="AU261" s="26">
        <f t="shared" si="131"/>
        <v>370</v>
      </c>
      <c r="AV261" s="244"/>
      <c r="AW261" s="16">
        <f t="shared" ref="AW261:AW265" si="138">AU261+AV261</f>
        <v>370</v>
      </c>
      <c r="AX261" s="122">
        <f t="shared" ref="AX261:AX265" si="139">IF(AU261=0," ",(AW261-AU261)/AU261)</f>
        <v>0</v>
      </c>
      <c r="AZ261" s="117">
        <v>370</v>
      </c>
      <c r="BA261" s="117">
        <v>370</v>
      </c>
      <c r="BC261" s="259"/>
      <c r="BE261" s="26">
        <v>370</v>
      </c>
      <c r="BF261" s="26">
        <v>51.02</v>
      </c>
      <c r="BH261" s="26">
        <v>370</v>
      </c>
      <c r="BI261" s="403">
        <v>-250</v>
      </c>
      <c r="BJ261" s="16">
        <f t="shared" ref="BJ261:BJ265" si="140">BH261+BI261</f>
        <v>120</v>
      </c>
      <c r="BK261" s="122">
        <f t="shared" ref="BK261:BK265" si="141">IF(BH261=0," ",(BJ261-BH261)/BH261)</f>
        <v>-0.67567567567567566</v>
      </c>
      <c r="BM261" s="117">
        <v>120</v>
      </c>
      <c r="BN261" s="117">
        <v>120</v>
      </c>
      <c r="BP261" s="399" t="s">
        <v>1120</v>
      </c>
      <c r="BR261" s="117">
        <v>120</v>
      </c>
      <c r="BS261" s="26">
        <v>0.73</v>
      </c>
      <c r="BU261" s="26">
        <v>120</v>
      </c>
      <c r="BV261" s="244">
        <v>-20</v>
      </c>
      <c r="BW261" s="576">
        <f t="shared" ref="BW261:BW265" si="142">BU261+BV261</f>
        <v>100</v>
      </c>
      <c r="BX261" s="577">
        <f t="shared" ref="BX261:BX265" si="143">IF(BU261=0," ",(BW261-BU261)/BU261)</f>
        <v>-0.16666666666666666</v>
      </c>
      <c r="BZ261" s="166">
        <v>100</v>
      </c>
      <c r="CA261" s="166">
        <v>100</v>
      </c>
      <c r="CC261" s="755" t="s">
        <v>1372</v>
      </c>
      <c r="CE261" s="166">
        <v>100</v>
      </c>
      <c r="CF261" s="166"/>
      <c r="CJ261" s="886"/>
      <c r="CK261" s="1"/>
      <c r="CO261" s="16"/>
    </row>
    <row r="262" spans="1:93" x14ac:dyDescent="0.3">
      <c r="A262" s="11">
        <v>175</v>
      </c>
      <c r="B262" s="3" t="s">
        <v>2</v>
      </c>
      <c r="C262" s="37">
        <v>17505</v>
      </c>
      <c r="D262" s="37">
        <v>53450</v>
      </c>
      <c r="E262" s="49" t="s">
        <v>118</v>
      </c>
      <c r="F262" s="3" t="s">
        <v>2</v>
      </c>
      <c r="G262" s="3" t="s">
        <v>314</v>
      </c>
      <c r="H262" s="26">
        <v>1030</v>
      </c>
      <c r="I262" s="244"/>
      <c r="J262" s="16">
        <f t="shared" si="132"/>
        <v>1030</v>
      </c>
      <c r="K262" s="122">
        <f t="shared" si="133"/>
        <v>0</v>
      </c>
      <c r="M262" s="117">
        <v>1030</v>
      </c>
      <c r="N262" s="117">
        <v>1030</v>
      </c>
      <c r="P262" s="259"/>
      <c r="R262" s="26">
        <v>1030</v>
      </c>
      <c r="S262" s="26">
        <v>956.52</v>
      </c>
      <c r="U262" s="26">
        <v>1030</v>
      </c>
      <c r="V262" s="244">
        <v>0</v>
      </c>
      <c r="W262" s="16">
        <f t="shared" si="134"/>
        <v>1030</v>
      </c>
      <c r="X262" s="122">
        <f t="shared" si="135"/>
        <v>0</v>
      </c>
      <c r="Z262" s="117">
        <v>1030</v>
      </c>
      <c r="AA262" s="117">
        <v>1030</v>
      </c>
      <c r="AC262" s="259"/>
      <c r="AE262" s="26">
        <v>1030</v>
      </c>
      <c r="AF262" s="200">
        <v>2272</v>
      </c>
      <c r="AH262" s="26">
        <v>1030</v>
      </c>
      <c r="AI262" s="244"/>
      <c r="AJ262" s="16">
        <f t="shared" si="136"/>
        <v>1030</v>
      </c>
      <c r="AK262" s="122">
        <f t="shared" si="137"/>
        <v>0</v>
      </c>
      <c r="AM262" s="117">
        <v>1030</v>
      </c>
      <c r="AN262" s="117">
        <v>1030</v>
      </c>
      <c r="AP262" s="259"/>
      <c r="AR262" s="26">
        <v>1030</v>
      </c>
      <c r="AS262" s="26">
        <v>101.42</v>
      </c>
      <c r="AU262" s="26">
        <f t="shared" si="131"/>
        <v>1030</v>
      </c>
      <c r="AV262" s="244"/>
      <c r="AW262" s="16">
        <f t="shared" si="138"/>
        <v>1030</v>
      </c>
      <c r="AX262" s="122">
        <f t="shared" si="139"/>
        <v>0</v>
      </c>
      <c r="AZ262" s="117">
        <v>1030</v>
      </c>
      <c r="BA262" s="117">
        <v>1030</v>
      </c>
      <c r="BC262" s="259"/>
      <c r="BE262" s="26">
        <v>1030</v>
      </c>
      <c r="BF262" s="26">
        <v>745.5</v>
      </c>
      <c r="BH262" s="26">
        <v>1030</v>
      </c>
      <c r="BI262" s="403">
        <v>384</v>
      </c>
      <c r="BJ262" s="16">
        <f t="shared" si="140"/>
        <v>1414</v>
      </c>
      <c r="BK262" s="122">
        <f t="shared" si="141"/>
        <v>0.37281553398058254</v>
      </c>
      <c r="BM262" s="117">
        <v>1414</v>
      </c>
      <c r="BN262" s="117">
        <v>1414</v>
      </c>
      <c r="BP262" s="399" t="s">
        <v>1120</v>
      </c>
      <c r="BR262" s="117">
        <v>1414</v>
      </c>
      <c r="BS262" s="26"/>
      <c r="BU262" s="26">
        <v>1414</v>
      </c>
      <c r="BV262" s="244">
        <f>61+25</f>
        <v>86</v>
      </c>
      <c r="BW262" s="576">
        <f t="shared" si="142"/>
        <v>1500</v>
      </c>
      <c r="BX262" s="577">
        <f t="shared" si="143"/>
        <v>6.0820367751060818E-2</v>
      </c>
      <c r="BZ262" s="166">
        <v>1500</v>
      </c>
      <c r="CA262" s="166">
        <v>1500</v>
      </c>
      <c r="CC262" s="755" t="s">
        <v>1372</v>
      </c>
      <c r="CE262" s="166">
        <v>1500</v>
      </c>
      <c r="CF262" s="166"/>
      <c r="CJ262" s="886"/>
      <c r="CK262" s="1"/>
      <c r="CO262" s="16"/>
    </row>
    <row r="263" spans="1:93" x14ac:dyDescent="0.3">
      <c r="A263" s="11">
        <v>175</v>
      </c>
      <c r="B263" s="3" t="s">
        <v>2</v>
      </c>
      <c r="C263" s="37">
        <v>17505</v>
      </c>
      <c r="D263" s="37">
        <v>54200</v>
      </c>
      <c r="E263" s="49" t="s">
        <v>118</v>
      </c>
      <c r="F263" s="3" t="s">
        <v>2</v>
      </c>
      <c r="G263" s="3" t="s">
        <v>315</v>
      </c>
      <c r="H263" s="26">
        <v>257</v>
      </c>
      <c r="I263" s="244"/>
      <c r="J263" s="16">
        <f t="shared" si="132"/>
        <v>257</v>
      </c>
      <c r="K263" s="122">
        <f t="shared" si="133"/>
        <v>0</v>
      </c>
      <c r="M263" s="117">
        <v>257</v>
      </c>
      <c r="N263" s="117">
        <v>257</v>
      </c>
      <c r="P263" s="259"/>
      <c r="R263" s="26">
        <v>257</v>
      </c>
      <c r="S263" s="26">
        <v>33.67</v>
      </c>
      <c r="U263" s="26">
        <v>257</v>
      </c>
      <c r="V263" s="244">
        <v>0</v>
      </c>
      <c r="W263" s="16">
        <f t="shared" si="134"/>
        <v>257</v>
      </c>
      <c r="X263" s="122">
        <f t="shared" si="135"/>
        <v>0</v>
      </c>
      <c r="Z263" s="117">
        <v>257</v>
      </c>
      <c r="AA263" s="117">
        <v>257</v>
      </c>
      <c r="AC263" s="259"/>
      <c r="AE263" s="26">
        <v>257</v>
      </c>
      <c r="AF263" s="200">
        <v>407.88</v>
      </c>
      <c r="AH263" s="26">
        <v>257</v>
      </c>
      <c r="AI263" s="244"/>
      <c r="AJ263" s="16">
        <f t="shared" si="136"/>
        <v>257</v>
      </c>
      <c r="AK263" s="122">
        <f t="shared" si="137"/>
        <v>0</v>
      </c>
      <c r="AM263" s="117">
        <v>257</v>
      </c>
      <c r="AN263" s="117">
        <v>257</v>
      </c>
      <c r="AP263" s="259"/>
      <c r="AR263" s="26">
        <v>257</v>
      </c>
      <c r="AS263" s="26">
        <v>0</v>
      </c>
      <c r="AU263" s="26">
        <f t="shared" si="131"/>
        <v>257</v>
      </c>
      <c r="AV263" s="244"/>
      <c r="AW263" s="16">
        <f t="shared" si="138"/>
        <v>257</v>
      </c>
      <c r="AX263" s="122">
        <f t="shared" si="139"/>
        <v>0</v>
      </c>
      <c r="AZ263" s="117">
        <v>257</v>
      </c>
      <c r="BA263" s="117">
        <v>257</v>
      </c>
      <c r="BC263" s="259"/>
      <c r="BE263" s="26">
        <v>257</v>
      </c>
      <c r="BF263" s="26">
        <v>141.24</v>
      </c>
      <c r="BH263" s="26">
        <v>257</v>
      </c>
      <c r="BI263" s="244"/>
      <c r="BJ263" s="16">
        <f t="shared" si="140"/>
        <v>257</v>
      </c>
      <c r="BK263" s="122">
        <f t="shared" si="141"/>
        <v>0</v>
      </c>
      <c r="BM263" s="117">
        <v>257</v>
      </c>
      <c r="BN263" s="117">
        <v>257</v>
      </c>
      <c r="BP263" s="259"/>
      <c r="BR263" s="117">
        <v>257</v>
      </c>
      <c r="BS263" s="26"/>
      <c r="BU263" s="26">
        <v>257</v>
      </c>
      <c r="BV263" s="244">
        <v>-257</v>
      </c>
      <c r="BW263" s="576">
        <f t="shared" si="142"/>
        <v>0</v>
      </c>
      <c r="BX263" s="577">
        <f t="shared" si="143"/>
        <v>-1</v>
      </c>
      <c r="BZ263" s="166">
        <v>0</v>
      </c>
      <c r="CA263" s="166">
        <v>0</v>
      </c>
      <c r="CC263" s="755" t="s">
        <v>1372</v>
      </c>
      <c r="CE263" s="166">
        <v>0</v>
      </c>
      <c r="CF263" s="166"/>
      <c r="CJ263" s="886"/>
      <c r="CK263" s="1"/>
      <c r="CO263" s="16"/>
    </row>
    <row r="264" spans="1:93" x14ac:dyDescent="0.3">
      <c r="A264" s="11">
        <v>175</v>
      </c>
      <c r="C264" s="325">
        <v>17505</v>
      </c>
      <c r="D264" s="325">
        <v>55800</v>
      </c>
      <c r="E264" s="49" t="s">
        <v>118</v>
      </c>
      <c r="G264" s="3" t="s">
        <v>1484</v>
      </c>
      <c r="H264" s="26"/>
      <c r="I264" s="244"/>
      <c r="M264" s="117"/>
      <c r="N264" s="117"/>
      <c r="P264" s="259"/>
      <c r="R264" s="26"/>
      <c r="S264" s="26"/>
      <c r="U264" s="26"/>
      <c r="V264" s="244"/>
      <c r="Z264" s="117"/>
      <c r="AA264" s="117"/>
      <c r="AC264" s="259"/>
      <c r="AE264" s="26"/>
      <c r="AF264" s="200"/>
      <c r="AH264" s="26"/>
      <c r="AI264" s="244"/>
      <c r="AM264" s="117"/>
      <c r="AN264" s="117"/>
      <c r="AP264" s="259"/>
      <c r="AR264" s="26"/>
      <c r="AS264" s="26"/>
      <c r="AU264" s="26"/>
      <c r="AV264" s="244"/>
      <c r="AZ264" s="117"/>
      <c r="BA264" s="117"/>
      <c r="BC264" s="259"/>
      <c r="BE264" s="26"/>
      <c r="BF264" s="26"/>
      <c r="BH264" s="26"/>
      <c r="BI264" s="244"/>
      <c r="BM264" s="117"/>
      <c r="BN264" s="117"/>
      <c r="BP264" s="259"/>
      <c r="BR264" s="117"/>
      <c r="BS264" s="26"/>
      <c r="BU264" s="26"/>
      <c r="BV264" s="244">
        <v>150</v>
      </c>
      <c r="BW264" s="576">
        <f t="shared" si="142"/>
        <v>150</v>
      </c>
      <c r="BZ264" s="166">
        <v>150</v>
      </c>
      <c r="CA264" s="166">
        <v>150</v>
      </c>
      <c r="CC264" s="755" t="s">
        <v>1372</v>
      </c>
      <c r="CE264" s="166">
        <v>150</v>
      </c>
      <c r="CF264" s="166"/>
      <c r="CJ264" s="886"/>
      <c r="CK264" s="1"/>
      <c r="CO264" s="16"/>
    </row>
    <row r="265" spans="1:93" x14ac:dyDescent="0.3">
      <c r="A265" s="11">
        <v>175</v>
      </c>
      <c r="B265" s="3" t="s">
        <v>2</v>
      </c>
      <c r="C265" s="37">
        <v>17505</v>
      </c>
      <c r="D265" s="37">
        <v>57100</v>
      </c>
      <c r="E265" s="49" t="s">
        <v>118</v>
      </c>
      <c r="F265" s="3" t="s">
        <v>2</v>
      </c>
      <c r="G265" s="3" t="s">
        <v>316</v>
      </c>
      <c r="H265" s="26">
        <v>50</v>
      </c>
      <c r="I265" s="244"/>
      <c r="J265" s="16">
        <f t="shared" si="132"/>
        <v>50</v>
      </c>
      <c r="K265" s="122">
        <f t="shared" si="133"/>
        <v>0</v>
      </c>
      <c r="M265" s="117">
        <v>50</v>
      </c>
      <c r="N265" s="117">
        <v>50</v>
      </c>
      <c r="P265" s="259"/>
      <c r="R265" s="26">
        <v>50</v>
      </c>
      <c r="S265" s="26">
        <v>0</v>
      </c>
      <c r="U265" s="26">
        <v>50</v>
      </c>
      <c r="V265" s="244">
        <v>0</v>
      </c>
      <c r="W265" s="16">
        <f t="shared" si="134"/>
        <v>50</v>
      </c>
      <c r="X265" s="122">
        <f t="shared" si="135"/>
        <v>0</v>
      </c>
      <c r="Z265" s="117">
        <v>50</v>
      </c>
      <c r="AA265" s="117">
        <v>50</v>
      </c>
      <c r="AC265" s="259"/>
      <c r="AE265" s="26">
        <v>50</v>
      </c>
      <c r="AF265" s="200">
        <v>0</v>
      </c>
      <c r="AH265" s="26">
        <v>50</v>
      </c>
      <c r="AI265" s="244"/>
      <c r="AJ265" s="16">
        <f t="shared" si="136"/>
        <v>50</v>
      </c>
      <c r="AK265" s="122">
        <f t="shared" si="137"/>
        <v>0</v>
      </c>
      <c r="AM265" s="117">
        <v>50</v>
      </c>
      <c r="AN265" s="117">
        <v>50</v>
      </c>
      <c r="AP265" s="259"/>
      <c r="AR265" s="26">
        <v>50</v>
      </c>
      <c r="AS265" s="26">
        <v>0</v>
      </c>
      <c r="AU265" s="26">
        <f t="shared" si="131"/>
        <v>50</v>
      </c>
      <c r="AV265" s="244"/>
      <c r="AW265" s="16">
        <f t="shared" si="138"/>
        <v>50</v>
      </c>
      <c r="AX265" s="122">
        <f t="shared" si="139"/>
        <v>0</v>
      </c>
      <c r="AZ265" s="117">
        <v>50</v>
      </c>
      <c r="BA265" s="117">
        <v>50</v>
      </c>
      <c r="BC265" s="259"/>
      <c r="BE265" s="26">
        <v>50</v>
      </c>
      <c r="BF265" s="26"/>
      <c r="BH265" s="26">
        <v>50</v>
      </c>
      <c r="BI265" s="403">
        <v>-50</v>
      </c>
      <c r="BJ265" s="16">
        <f t="shared" si="140"/>
        <v>0</v>
      </c>
      <c r="BK265" s="122">
        <f t="shared" si="141"/>
        <v>-1</v>
      </c>
      <c r="BM265" s="117">
        <v>0</v>
      </c>
      <c r="BN265" s="117">
        <v>0</v>
      </c>
      <c r="BP265" s="399" t="s">
        <v>1120</v>
      </c>
      <c r="BR265" s="117">
        <v>0</v>
      </c>
      <c r="BS265" s="26"/>
      <c r="BU265" s="26">
        <v>0</v>
      </c>
      <c r="BV265" s="244"/>
      <c r="BW265" s="576">
        <f t="shared" si="142"/>
        <v>0</v>
      </c>
      <c r="BX265" s="577" t="str">
        <f t="shared" si="143"/>
        <v xml:space="preserve"> </v>
      </c>
      <c r="BZ265" s="166">
        <v>0</v>
      </c>
      <c r="CA265" s="166">
        <v>0</v>
      </c>
      <c r="CC265" s="754"/>
      <c r="CE265" s="166">
        <v>0</v>
      </c>
      <c r="CF265" s="166"/>
      <c r="CJ265" s="886"/>
      <c r="CK265" s="1"/>
      <c r="CO265" s="16"/>
    </row>
    <row r="266" spans="1:93" x14ac:dyDescent="0.3">
      <c r="A266" s="11">
        <v>175</v>
      </c>
      <c r="B266" s="3" t="s">
        <v>2</v>
      </c>
      <c r="C266" s="37">
        <v>17505</v>
      </c>
      <c r="D266" s="37">
        <v>57300</v>
      </c>
      <c r="E266" s="49" t="s">
        <v>118</v>
      </c>
      <c r="F266" s="3" t="s">
        <v>2</v>
      </c>
      <c r="G266" s="3" t="s">
        <v>1483</v>
      </c>
      <c r="H266" s="26">
        <v>84</v>
      </c>
      <c r="I266" s="244"/>
      <c r="J266" s="16">
        <f>H266+I266</f>
        <v>84</v>
      </c>
      <c r="K266" s="122">
        <f>IF(H266=0," ",(J266-H266)/H266)</f>
        <v>0</v>
      </c>
      <c r="M266" s="117">
        <v>84</v>
      </c>
      <c r="N266" s="117">
        <v>84</v>
      </c>
      <c r="P266" s="259"/>
      <c r="R266" s="26">
        <v>84</v>
      </c>
      <c r="S266" s="26">
        <v>0</v>
      </c>
      <c r="U266" s="26">
        <v>84</v>
      </c>
      <c r="V266" s="244">
        <v>0</v>
      </c>
      <c r="W266" s="16">
        <f>U266+V266</f>
        <v>84</v>
      </c>
      <c r="X266" s="122">
        <f>IF(U266=0," ",(W266-U266)/U266)</f>
        <v>0</v>
      </c>
      <c r="Z266" s="117">
        <v>84</v>
      </c>
      <c r="AA266" s="117">
        <v>84</v>
      </c>
      <c r="AC266" s="259"/>
      <c r="AE266" s="26">
        <v>84</v>
      </c>
      <c r="AF266" s="200">
        <v>0</v>
      </c>
      <c r="AH266" s="26">
        <v>84</v>
      </c>
      <c r="AI266" s="244"/>
      <c r="AJ266" s="16">
        <f>AH266+AI266</f>
        <v>84</v>
      </c>
      <c r="AK266" s="122">
        <f>IF(AH266=0," ",(AJ266-AH266)/AH266)</f>
        <v>0</v>
      </c>
      <c r="AM266" s="117">
        <v>84</v>
      </c>
      <c r="AN266" s="117">
        <v>84</v>
      </c>
      <c r="AP266" s="259"/>
      <c r="AR266" s="26">
        <v>84</v>
      </c>
      <c r="AS266" s="26">
        <v>0</v>
      </c>
      <c r="AU266" s="26">
        <f>AR266</f>
        <v>84</v>
      </c>
      <c r="AV266" s="244"/>
      <c r="AW266" s="16">
        <f>AU266+AV266</f>
        <v>84</v>
      </c>
      <c r="AX266" s="122">
        <f>IF(AU266=0," ",(AW266-AU266)/AU266)</f>
        <v>0</v>
      </c>
      <c r="AZ266" s="117">
        <v>84</v>
      </c>
      <c r="BA266" s="117">
        <v>84</v>
      </c>
      <c r="BC266" s="259"/>
      <c r="BE266" s="26">
        <v>84</v>
      </c>
      <c r="BF266" s="26"/>
      <c r="BH266" s="26">
        <v>84</v>
      </c>
      <c r="BI266" s="403">
        <v>-84</v>
      </c>
      <c r="BJ266" s="16">
        <f>BH266+BI266</f>
        <v>0</v>
      </c>
      <c r="BK266" s="122">
        <f>IF(BH266=0," ",(BJ266-BH266)/BH266)</f>
        <v>-1</v>
      </c>
      <c r="BM266" s="117">
        <v>0</v>
      </c>
      <c r="BN266" s="117">
        <v>0</v>
      </c>
      <c r="BP266" s="399" t="s">
        <v>1120</v>
      </c>
      <c r="BR266" s="117">
        <v>0</v>
      </c>
      <c r="BS266" s="26"/>
      <c r="BU266" s="26">
        <v>0</v>
      </c>
      <c r="BV266" s="244"/>
      <c r="BW266" s="576">
        <f>BU266+BV266</f>
        <v>0</v>
      </c>
      <c r="BX266" s="577" t="str">
        <f>IF(BU266=0," ",(BW266-BU266)/BU266)</f>
        <v xml:space="preserve"> </v>
      </c>
      <c r="BZ266" s="166">
        <v>0</v>
      </c>
      <c r="CA266" s="166">
        <v>0</v>
      </c>
      <c r="CC266" s="776" t="s">
        <v>1485</v>
      </c>
      <c r="CE266" s="166">
        <v>0</v>
      </c>
      <c r="CF266" s="166"/>
      <c r="CJ266" s="886"/>
      <c r="CK266" s="1"/>
      <c r="CO266" s="16"/>
    </row>
    <row r="267" spans="1:93" s="19" customFormat="1" x14ac:dyDescent="0.3">
      <c r="A267" s="27"/>
      <c r="B267" s="8"/>
      <c r="C267" s="42"/>
      <c r="D267" s="42"/>
      <c r="E267" s="54"/>
      <c r="F267" s="8"/>
      <c r="G267" s="8" t="s">
        <v>125</v>
      </c>
      <c r="H267" s="28">
        <f>SUM(H261:H265)</f>
        <v>1707</v>
      </c>
      <c r="I267" s="28">
        <f>SUM(I261:I265)</f>
        <v>0</v>
      </c>
      <c r="J267" s="28">
        <f>SUM(J261:J265)</f>
        <v>1707</v>
      </c>
      <c r="K267" s="123">
        <f>IF(H267=0," ",(J267-H267)/H267)</f>
        <v>0</v>
      </c>
      <c r="M267" s="28">
        <f>SUM(M261:M265)</f>
        <v>1707</v>
      </c>
      <c r="N267" s="28">
        <f>SUM(N261:N265)</f>
        <v>1707</v>
      </c>
      <c r="P267" s="139">
        <f>SUM(P261:P265)</f>
        <v>0</v>
      </c>
      <c r="R267" s="28">
        <f>SUM(R261:R265)</f>
        <v>1707</v>
      </c>
      <c r="S267" s="28">
        <f>SUM(S261:S265)</f>
        <v>990.18999999999994</v>
      </c>
      <c r="U267" s="28">
        <f>SUM(U261:U265)</f>
        <v>1707</v>
      </c>
      <c r="V267" s="28">
        <f>SUM(V261:V265)</f>
        <v>0</v>
      </c>
      <c r="W267" s="28">
        <f>SUM(W261:W265)</f>
        <v>1707</v>
      </c>
      <c r="X267" s="123">
        <f>IF(U267=0," ",(W267-U267)/U267)</f>
        <v>0</v>
      </c>
      <c r="Z267" s="28">
        <f>SUM(Z261:Z265)</f>
        <v>1707</v>
      </c>
      <c r="AA267" s="28">
        <f>SUM(AA261:AA265)</f>
        <v>1707</v>
      </c>
      <c r="AC267" s="139"/>
      <c r="AE267" s="28">
        <f>SUM(AE261:AE265)</f>
        <v>1707</v>
      </c>
      <c r="AF267" s="201">
        <f>SUM(AF260:AF265)</f>
        <v>2963.12</v>
      </c>
      <c r="AH267" s="201">
        <f>SUM(AH260:AH265)</f>
        <v>1707</v>
      </c>
      <c r="AI267" s="201">
        <f>SUM(AI260:AI265)</f>
        <v>0</v>
      </c>
      <c r="AJ267" s="201">
        <f>SUM(AJ260:AJ265)</f>
        <v>1707</v>
      </c>
      <c r="AK267" s="123">
        <f>IF(AH267=0," ",(AJ267-AH267)/AH267)</f>
        <v>0</v>
      </c>
      <c r="AM267" s="28">
        <f>SUM(AM260:AM265)</f>
        <v>1707</v>
      </c>
      <c r="AN267" s="28">
        <f>SUM(AN260:AN265)</f>
        <v>1707</v>
      </c>
      <c r="AP267" s="139"/>
      <c r="AR267" s="28">
        <f>SUM(AR260:AR265)</f>
        <v>1707</v>
      </c>
      <c r="AS267" s="28">
        <f>SUM(AS260:AS265)</f>
        <v>110.42</v>
      </c>
      <c r="AU267" s="28">
        <f>SUM(AU260:AU265)</f>
        <v>1707</v>
      </c>
      <c r="AV267" s="28">
        <f>SUM(AV260:AV265)</f>
        <v>0</v>
      </c>
      <c r="AW267" s="28">
        <f>SUM(AW260:AW265)</f>
        <v>1707</v>
      </c>
      <c r="AX267" s="123">
        <f>IF(AU267=0," ",(AW267-AU267)/AU267)</f>
        <v>0</v>
      </c>
      <c r="AZ267" s="28">
        <f>SUM(AZ260:AZ265)</f>
        <v>1707</v>
      </c>
      <c r="BA267" s="28">
        <f>SUM(BA260:BA265)</f>
        <v>1707</v>
      </c>
      <c r="BC267" s="139"/>
      <c r="BE267" s="28">
        <f>SUM(BE260:BE265)</f>
        <v>1707</v>
      </c>
      <c r="BF267" s="28">
        <f>SUM(BF260:BF265)</f>
        <v>937.76</v>
      </c>
      <c r="BG267" s="9"/>
      <c r="BH267" s="28">
        <f>SUM(BH260:BH265)</f>
        <v>1707</v>
      </c>
      <c r="BI267" s="28">
        <f>SUM(BI260:BI265)</f>
        <v>84</v>
      </c>
      <c r="BJ267" s="28">
        <f>SUM(BJ260:BJ265)</f>
        <v>1791</v>
      </c>
      <c r="BK267" s="123">
        <f>IF(BH267=0," ",(BJ267-BH267)/BH267)</f>
        <v>4.9209138840070298E-2</v>
      </c>
      <c r="BM267" s="28">
        <f>SUM(BM260:BM265)</f>
        <v>1791</v>
      </c>
      <c r="BN267" s="28">
        <f>SUM(BN260:BN265)</f>
        <v>1791</v>
      </c>
      <c r="BP267" s="139"/>
      <c r="BR267" s="28">
        <f>SUM(BR260:BR265)</f>
        <v>1791</v>
      </c>
      <c r="BS267" s="28">
        <f>SUM(BS260:BS265)</f>
        <v>0.73</v>
      </c>
      <c r="BT267" s="9"/>
      <c r="BU267" s="28">
        <f>SUM(BU260:BU265)</f>
        <v>1791</v>
      </c>
      <c r="BV267" s="532">
        <f>SUM(BV260:BV265)</f>
        <v>-41</v>
      </c>
      <c r="BW267" s="591">
        <f>SUM(BW260:BW265)</f>
        <v>1750</v>
      </c>
      <c r="BX267" s="579">
        <f>IF(BU267=0," ",(BW267-BU267)/BU267)</f>
        <v>-2.2892238972640984E-2</v>
      </c>
      <c r="BY267" s="580"/>
      <c r="BZ267" s="591">
        <f>SUM(BZ260:BZ265)</f>
        <v>1750</v>
      </c>
      <c r="CA267" s="591">
        <f>SUM(CA260:CA265)</f>
        <v>1750</v>
      </c>
      <c r="CB267" s="580"/>
      <c r="CC267" s="769"/>
      <c r="CD267" s="580"/>
      <c r="CE267" s="591">
        <f>SUM(CE260:CE265)</f>
        <v>1750</v>
      </c>
      <c r="CF267" s="591">
        <f>SUM(CF260:CF265)</f>
        <v>0</v>
      </c>
      <c r="CG267" s="9"/>
      <c r="CH267" s="815"/>
      <c r="CI267" s="815"/>
      <c r="CJ267" s="886"/>
      <c r="CK267" s="1"/>
      <c r="CO267" s="16"/>
    </row>
    <row r="268" spans="1:93" ht="9.9" customHeight="1" x14ac:dyDescent="0.3">
      <c r="AS268" s="16"/>
      <c r="CJ268" s="886"/>
      <c r="CK268" s="1"/>
      <c r="CO268" s="16"/>
    </row>
    <row r="269" spans="1:93" s="1" customFormat="1" x14ac:dyDescent="0.3">
      <c r="A269" s="20"/>
      <c r="B269" s="5"/>
      <c r="C269" s="39"/>
      <c r="D269" s="39"/>
      <c r="E269" s="51"/>
      <c r="F269" s="5"/>
      <c r="G269" s="21" t="s">
        <v>126</v>
      </c>
      <c r="H269" s="22">
        <f>H258+H267</f>
        <v>6914</v>
      </c>
      <c r="I269" s="22">
        <f>I258+I267</f>
        <v>104</v>
      </c>
      <c r="J269" s="22">
        <f>J258+J267</f>
        <v>7018</v>
      </c>
      <c r="K269" s="124">
        <f>IF(H269=0," ",(J269-H269)/H269)</f>
        <v>1.5041943881978595E-2</v>
      </c>
      <c r="M269" s="22">
        <f>M258+M267</f>
        <v>1712</v>
      </c>
      <c r="N269" s="22">
        <f>N258+N267</f>
        <v>1712</v>
      </c>
      <c r="P269" s="136">
        <f>P258+P267</f>
        <v>0</v>
      </c>
      <c r="R269" s="22">
        <f>R258+R267</f>
        <v>1712</v>
      </c>
      <c r="S269" s="22">
        <f>S258+S267</f>
        <v>990.18999999999994</v>
      </c>
      <c r="U269" s="22">
        <f>U258+U267</f>
        <v>1712</v>
      </c>
      <c r="V269" s="22">
        <f>V258+V267</f>
        <v>0</v>
      </c>
      <c r="W269" s="22">
        <f>W258+W267</f>
        <v>1712</v>
      </c>
      <c r="X269" s="124">
        <f>IF(U269=0," ",(W269-U269)/U269)</f>
        <v>0</v>
      </c>
      <c r="Z269" s="22">
        <f>Z258+Z267</f>
        <v>1712</v>
      </c>
      <c r="AA269" s="22">
        <f>AA258+AA267</f>
        <v>1712</v>
      </c>
      <c r="AC269" s="136"/>
      <c r="AE269" s="22">
        <f>AE258+AE267</f>
        <v>1712</v>
      </c>
      <c r="AF269" s="199">
        <f>AF258+AF267</f>
        <v>2963.12</v>
      </c>
      <c r="AH269" s="22">
        <v>1796</v>
      </c>
      <c r="AI269" s="22">
        <f>AI258+AI267</f>
        <v>0</v>
      </c>
      <c r="AJ269" s="22">
        <f>AJ258+AJ267</f>
        <v>1712</v>
      </c>
      <c r="AK269" s="124">
        <f>IF(AH269=0," ",(AJ269-AH269)/AH269)</f>
        <v>-4.6770601336302897E-2</v>
      </c>
      <c r="AM269" s="22">
        <f>AM258+AM267</f>
        <v>1712</v>
      </c>
      <c r="AN269" s="22">
        <f>AN258+AN267</f>
        <v>1712</v>
      </c>
      <c r="AP269" s="136"/>
      <c r="AR269" s="22">
        <f>AR258+AR267</f>
        <v>1712</v>
      </c>
      <c r="AS269" s="22">
        <f>AS258+AS267</f>
        <v>110.42</v>
      </c>
      <c r="AU269" s="22">
        <f>AU258+AU267</f>
        <v>1712</v>
      </c>
      <c r="AV269" s="22">
        <f>AV258+AV267</f>
        <v>0</v>
      </c>
      <c r="AW269" s="22">
        <f>AW258+AW267</f>
        <v>1712</v>
      </c>
      <c r="AX269" s="124">
        <f>IF(AU269=0," ",(AW269-AU269)/AU269)</f>
        <v>0</v>
      </c>
      <c r="AZ269" s="22">
        <f>AZ258+AZ267</f>
        <v>1712</v>
      </c>
      <c r="BA269" s="22">
        <f>BA258+BA267</f>
        <v>1712</v>
      </c>
      <c r="BC269" s="136"/>
      <c r="BE269" s="22">
        <f>BE258+BE267</f>
        <v>1712</v>
      </c>
      <c r="BF269" s="22">
        <f>BF258+BF267</f>
        <v>937.76</v>
      </c>
      <c r="BH269" s="22">
        <f>BH258+BH267</f>
        <v>1712</v>
      </c>
      <c r="BI269" s="22">
        <f>BI258+BI267</f>
        <v>84</v>
      </c>
      <c r="BJ269" s="22">
        <f>BJ258+BJ267</f>
        <v>1796</v>
      </c>
      <c r="BK269" s="124">
        <f>IF(BH269=0," ",(BJ269-BH269)/BH269)</f>
        <v>4.9065420560747662E-2</v>
      </c>
      <c r="BM269" s="22">
        <f>BM258+BM267</f>
        <v>1796</v>
      </c>
      <c r="BN269" s="22">
        <f>BN258+BN267</f>
        <v>1796</v>
      </c>
      <c r="BP269" s="136"/>
      <c r="BR269" s="22">
        <f>BR258+BR267</f>
        <v>1796</v>
      </c>
      <c r="BS269" s="22">
        <f>BS258+BS267</f>
        <v>0.73</v>
      </c>
      <c r="BU269" s="22">
        <f>BU258+BU267</f>
        <v>1796</v>
      </c>
      <c r="BV269" s="531">
        <f>BV258+BV267</f>
        <v>-41</v>
      </c>
      <c r="BW269" s="581">
        <f>BW258+BW267</f>
        <v>1755</v>
      </c>
      <c r="BX269" s="582">
        <f>IF(BU269=0," ",(BW269-BU269)/BU269)</f>
        <v>-2.2828507795100223E-2</v>
      </c>
      <c r="BY269" s="573"/>
      <c r="BZ269" s="581">
        <f>BZ258+BZ267</f>
        <v>1755</v>
      </c>
      <c r="CA269" s="581">
        <f>CA258+CA267</f>
        <v>1755</v>
      </c>
      <c r="CB269" s="573"/>
      <c r="CC269" s="764"/>
      <c r="CD269" s="573"/>
      <c r="CE269" s="581">
        <f>CE258+CE267</f>
        <v>1755</v>
      </c>
      <c r="CF269" s="581">
        <f>CF258+CF267</f>
        <v>0</v>
      </c>
      <c r="CH269" s="812"/>
      <c r="CI269" s="812"/>
      <c r="CJ269" s="886"/>
      <c r="CO269" s="16"/>
    </row>
    <row r="270" spans="1:93" ht="20.100000000000001" customHeight="1" x14ac:dyDescent="0.3">
      <c r="AS270" s="16"/>
      <c r="CJ270" s="886"/>
      <c r="CK270" s="1"/>
      <c r="CO270" s="16"/>
    </row>
    <row r="271" spans="1:93" s="1" customFormat="1" ht="15.6" x14ac:dyDescent="0.3">
      <c r="A271" s="14" t="s">
        <v>121</v>
      </c>
      <c r="B271" s="2"/>
      <c r="C271" s="36"/>
      <c r="D271" s="36"/>
      <c r="E271" s="48"/>
      <c r="F271" s="2"/>
      <c r="G271" s="2"/>
      <c r="H271" s="15"/>
      <c r="I271" s="15"/>
      <c r="J271" s="15"/>
      <c r="K271" s="121"/>
      <c r="M271" s="15"/>
      <c r="N271" s="15"/>
      <c r="P271" s="133"/>
      <c r="R271" s="15"/>
      <c r="S271" s="15"/>
      <c r="U271" s="15"/>
      <c r="V271" s="15"/>
      <c r="W271" s="15"/>
      <c r="X271" s="121"/>
      <c r="Z271" s="15"/>
      <c r="AA271" s="15"/>
      <c r="AC271" s="133"/>
      <c r="AE271" s="15"/>
      <c r="AF271" s="196"/>
      <c r="AH271" s="15"/>
      <c r="AI271" s="15"/>
      <c r="AJ271" s="15"/>
      <c r="AK271" s="121"/>
      <c r="AM271" s="15"/>
      <c r="AN271" s="15"/>
      <c r="AP271" s="133"/>
      <c r="AR271" s="15"/>
      <c r="AS271" s="15"/>
      <c r="AU271" s="15"/>
      <c r="AV271" s="15"/>
      <c r="AW271" s="15"/>
      <c r="AX271" s="121"/>
      <c r="AZ271" s="15"/>
      <c r="BA271" s="15"/>
      <c r="BC271" s="133"/>
      <c r="BE271" s="15"/>
      <c r="BF271" s="15"/>
      <c r="BH271" s="15"/>
      <c r="BI271" s="15"/>
      <c r="BJ271" s="15"/>
      <c r="BK271" s="121"/>
      <c r="BM271" s="15"/>
      <c r="BN271" s="15"/>
      <c r="BP271" s="234"/>
      <c r="BR271" s="15"/>
      <c r="BS271" s="15"/>
      <c r="BU271" s="15"/>
      <c r="BV271" s="529"/>
      <c r="BW271" s="574"/>
      <c r="BX271" s="575"/>
      <c r="BY271" s="573"/>
      <c r="BZ271" s="574"/>
      <c r="CA271" s="574"/>
      <c r="CB271" s="573"/>
      <c r="CC271" s="761"/>
      <c r="CD271" s="573"/>
      <c r="CE271" s="574"/>
      <c r="CF271" s="574"/>
      <c r="CH271" s="812"/>
      <c r="CI271" s="812"/>
      <c r="CJ271" s="886"/>
      <c r="CO271" s="16"/>
    </row>
    <row r="272" spans="1:93" x14ac:dyDescent="0.3">
      <c r="A272" s="11">
        <v>176</v>
      </c>
      <c r="B272" s="3" t="s">
        <v>2</v>
      </c>
      <c r="C272" s="37">
        <v>17605</v>
      </c>
      <c r="D272" s="37">
        <v>53430</v>
      </c>
      <c r="E272" s="49" t="s">
        <v>118</v>
      </c>
      <c r="F272" s="3" t="s">
        <v>2</v>
      </c>
      <c r="G272" s="3" t="s">
        <v>318</v>
      </c>
      <c r="H272" s="26">
        <v>76</v>
      </c>
      <c r="I272" s="244"/>
      <c r="J272" s="16">
        <f>H272+I272</f>
        <v>76</v>
      </c>
      <c r="K272" s="122">
        <f>IF(H272=0," ",(J272-H272)/H272)</f>
        <v>0</v>
      </c>
      <c r="M272" s="117">
        <v>76</v>
      </c>
      <c r="N272" s="117">
        <v>76</v>
      </c>
      <c r="P272" s="259" t="s">
        <v>564</v>
      </c>
      <c r="R272" s="26">
        <v>76</v>
      </c>
      <c r="S272" s="26">
        <v>0</v>
      </c>
      <c r="U272" s="26">
        <v>76</v>
      </c>
      <c r="V272" s="244">
        <v>0</v>
      </c>
      <c r="W272" s="16">
        <f>U272+V272</f>
        <v>76</v>
      </c>
      <c r="X272" s="122">
        <f>IF(U272=0," ",(W272-U272)/U272)</f>
        <v>0</v>
      </c>
      <c r="Z272" s="117">
        <v>76</v>
      </c>
      <c r="AA272" s="117">
        <v>76</v>
      </c>
      <c r="AC272" s="259"/>
      <c r="AE272" s="26">
        <v>76</v>
      </c>
      <c r="AF272" s="200">
        <v>0</v>
      </c>
      <c r="AH272" s="26">
        <v>76</v>
      </c>
      <c r="AI272" s="244"/>
      <c r="AJ272" s="16">
        <f>AH272+AI272</f>
        <v>76</v>
      </c>
      <c r="AK272" s="122">
        <f>IF(AH272=0," ",(AJ272-AH272)/AH272)</f>
        <v>0</v>
      </c>
      <c r="AM272" s="117">
        <v>76</v>
      </c>
      <c r="AN272" s="117">
        <v>76</v>
      </c>
      <c r="AP272" s="259"/>
      <c r="AR272" s="26">
        <v>76</v>
      </c>
      <c r="AS272" s="26">
        <v>4</v>
      </c>
      <c r="AU272" s="26">
        <f>AR272</f>
        <v>76</v>
      </c>
      <c r="AV272" s="244"/>
      <c r="AW272" s="16">
        <f>AU272+AV272</f>
        <v>76</v>
      </c>
      <c r="AX272" s="122">
        <f>IF(AU272=0," ",(AW272-AU272)/AU272)</f>
        <v>0</v>
      </c>
      <c r="AZ272" s="117">
        <v>76</v>
      </c>
      <c r="BA272" s="117">
        <v>76</v>
      </c>
      <c r="BC272" s="259"/>
      <c r="BE272" s="26">
        <v>76</v>
      </c>
      <c r="BF272" s="26"/>
      <c r="BH272" s="26">
        <v>76</v>
      </c>
      <c r="BI272" s="244"/>
      <c r="BJ272" s="16">
        <f>BH272+BI272</f>
        <v>76</v>
      </c>
      <c r="BK272" s="122">
        <f>IF(BH272=0," ",(BJ272-BH272)/BH272)</f>
        <v>0</v>
      </c>
      <c r="BM272" s="117">
        <v>76</v>
      </c>
      <c r="BN272" s="117">
        <v>76</v>
      </c>
      <c r="BP272" s="259"/>
      <c r="BR272" s="117">
        <v>76</v>
      </c>
      <c r="BS272" s="26"/>
      <c r="BU272" s="26">
        <v>76</v>
      </c>
      <c r="BV272" s="244">
        <v>-26</v>
      </c>
      <c r="BW272" s="576">
        <f>BU272+BV272</f>
        <v>50</v>
      </c>
      <c r="BX272" s="577">
        <f>IF(BU272=0," ",(BW272-BU272)/BU272)</f>
        <v>-0.34210526315789475</v>
      </c>
      <c r="BZ272" s="166">
        <v>50</v>
      </c>
      <c r="CA272" s="166">
        <v>50</v>
      </c>
      <c r="CC272" s="755" t="s">
        <v>1372</v>
      </c>
      <c r="CE272" s="166">
        <v>50</v>
      </c>
      <c r="CF272" s="166"/>
      <c r="CJ272" s="886"/>
      <c r="CK272" s="1"/>
      <c r="CO272" s="16"/>
    </row>
    <row r="273" spans="1:93" x14ac:dyDescent="0.3">
      <c r="A273" s="11">
        <v>176</v>
      </c>
      <c r="B273" s="3" t="s">
        <v>2</v>
      </c>
      <c r="C273" s="37">
        <v>17605</v>
      </c>
      <c r="D273" s="37">
        <v>53450</v>
      </c>
      <c r="E273" s="49" t="s">
        <v>118</v>
      </c>
      <c r="F273" s="3" t="s">
        <v>2</v>
      </c>
      <c r="G273" s="3" t="s">
        <v>317</v>
      </c>
      <c r="H273" s="26">
        <v>489</v>
      </c>
      <c r="I273" s="244"/>
      <c r="J273" s="16">
        <f>H273+I273</f>
        <v>489</v>
      </c>
      <c r="K273" s="122">
        <f>IF(H273=0," ",(J273-H273)/H273)</f>
        <v>0</v>
      </c>
      <c r="M273" s="117">
        <v>489</v>
      </c>
      <c r="N273" s="117">
        <v>489</v>
      </c>
      <c r="P273" s="259"/>
      <c r="R273" s="26">
        <v>489</v>
      </c>
      <c r="S273" s="26">
        <v>0</v>
      </c>
      <c r="U273" s="26">
        <v>489</v>
      </c>
      <c r="V273" s="244">
        <v>0</v>
      </c>
      <c r="W273" s="16">
        <f>U273+V273</f>
        <v>489</v>
      </c>
      <c r="X273" s="122">
        <f>IF(U273=0," ",(W273-U273)/U273)</f>
        <v>0</v>
      </c>
      <c r="Z273" s="117">
        <v>489</v>
      </c>
      <c r="AA273" s="117">
        <v>489</v>
      </c>
      <c r="AC273" s="259"/>
      <c r="AE273" s="26">
        <v>489</v>
      </c>
      <c r="AF273" s="200">
        <v>739.13</v>
      </c>
      <c r="AH273" s="26">
        <v>489</v>
      </c>
      <c r="AI273" s="244"/>
      <c r="AJ273" s="16">
        <f>AH273+AI273</f>
        <v>489</v>
      </c>
      <c r="AK273" s="122">
        <f>IF(AH273=0," ",(AJ273-AH273)/AH273)</f>
        <v>0</v>
      </c>
      <c r="AM273" s="117">
        <v>489</v>
      </c>
      <c r="AN273" s="117">
        <v>489</v>
      </c>
      <c r="AP273" s="259"/>
      <c r="AR273" s="26">
        <v>489</v>
      </c>
      <c r="AS273" s="26">
        <v>64.06</v>
      </c>
      <c r="AU273" s="26">
        <f>AR273</f>
        <v>489</v>
      </c>
      <c r="AV273" s="244"/>
      <c r="AW273" s="16">
        <f>AU273+AV273</f>
        <v>489</v>
      </c>
      <c r="AX273" s="122">
        <f>IF(AU273=0," ",(AW273-AU273)/AU273)</f>
        <v>0</v>
      </c>
      <c r="AZ273" s="117">
        <v>489</v>
      </c>
      <c r="BA273" s="117">
        <v>489</v>
      </c>
      <c r="BC273" s="259"/>
      <c r="BE273" s="26">
        <v>489</v>
      </c>
      <c r="BF273" s="26"/>
      <c r="BH273" s="26">
        <v>489</v>
      </c>
      <c r="BI273" s="403">
        <v>77</v>
      </c>
      <c r="BJ273" s="16">
        <f>BH273+BI273</f>
        <v>566</v>
      </c>
      <c r="BK273" s="122">
        <f>IF(BH273=0," ",(BJ273-BH273)/BH273)</f>
        <v>0.15746421267893659</v>
      </c>
      <c r="BM273" s="117">
        <v>566</v>
      </c>
      <c r="BN273" s="117">
        <v>566</v>
      </c>
      <c r="BP273" s="259"/>
      <c r="BR273" s="117">
        <v>566</v>
      </c>
      <c r="BS273" s="26"/>
      <c r="BU273" s="26">
        <v>566</v>
      </c>
      <c r="BV273" s="244">
        <v>34</v>
      </c>
      <c r="BW273" s="576">
        <f>BU273+BV273</f>
        <v>600</v>
      </c>
      <c r="BX273" s="577">
        <f>IF(BU273=0," ",(BW273-BU273)/BU273)</f>
        <v>6.0070671378091869E-2</v>
      </c>
      <c r="BZ273" s="166">
        <v>600</v>
      </c>
      <c r="CA273" s="166">
        <v>600</v>
      </c>
      <c r="CC273" s="755" t="s">
        <v>1372</v>
      </c>
      <c r="CE273" s="166">
        <v>600</v>
      </c>
      <c r="CF273" s="166"/>
      <c r="CJ273" s="886"/>
      <c r="CK273" s="1"/>
      <c r="CO273" s="16"/>
    </row>
    <row r="274" spans="1:93" x14ac:dyDescent="0.3">
      <c r="A274" s="11">
        <v>176</v>
      </c>
      <c r="B274" s="3" t="s">
        <v>2</v>
      </c>
      <c r="C274" s="37">
        <v>17605</v>
      </c>
      <c r="D274" s="37">
        <v>54200</v>
      </c>
      <c r="E274" s="49" t="s">
        <v>118</v>
      </c>
      <c r="F274" s="3" t="s">
        <v>2</v>
      </c>
      <c r="G274" s="3" t="s">
        <v>319</v>
      </c>
      <c r="H274" s="26">
        <v>103</v>
      </c>
      <c r="I274" s="244"/>
      <c r="J274" s="16">
        <f>H274+I274</f>
        <v>103</v>
      </c>
      <c r="K274" s="122">
        <f>IF(H274=0," ",(J274-H274)/H274)</f>
        <v>0</v>
      </c>
      <c r="M274" s="117">
        <v>103</v>
      </c>
      <c r="N274" s="117">
        <v>103</v>
      </c>
      <c r="P274" s="259"/>
      <c r="R274" s="26">
        <v>103</v>
      </c>
      <c r="S274" s="26">
        <v>553.67999999999995</v>
      </c>
      <c r="U274" s="26">
        <v>103</v>
      </c>
      <c r="V274" s="244">
        <v>0</v>
      </c>
      <c r="W274" s="16">
        <f>U274+V274</f>
        <v>103</v>
      </c>
      <c r="X274" s="122">
        <f>IF(U274=0," ",(W274-U274)/U274)</f>
        <v>0</v>
      </c>
      <c r="Z274" s="117">
        <v>103</v>
      </c>
      <c r="AA274" s="117">
        <v>103</v>
      </c>
      <c r="AC274" s="259"/>
      <c r="AE274" s="26">
        <v>103</v>
      </c>
      <c r="AF274" s="200">
        <v>0</v>
      </c>
      <c r="AH274" s="26">
        <v>103</v>
      </c>
      <c r="AI274" s="244"/>
      <c r="AJ274" s="16">
        <f>AH274+AI274</f>
        <v>103</v>
      </c>
      <c r="AK274" s="122">
        <f>IF(AH274=0," ",(AJ274-AH274)/AH274)</f>
        <v>0</v>
      </c>
      <c r="AM274" s="117">
        <v>103</v>
      </c>
      <c r="AN274" s="117">
        <v>103</v>
      </c>
      <c r="AP274" s="259"/>
      <c r="AR274" s="26">
        <v>103</v>
      </c>
      <c r="AS274" s="26">
        <v>146.26</v>
      </c>
      <c r="AU274" s="26">
        <f>AR274</f>
        <v>103</v>
      </c>
      <c r="AV274" s="244"/>
      <c r="AW274" s="16">
        <f>AU274+AV274</f>
        <v>103</v>
      </c>
      <c r="AX274" s="122">
        <f>IF(AU274=0," ",(AW274-AU274)/AU274)</f>
        <v>0</v>
      </c>
      <c r="AZ274" s="117">
        <v>103</v>
      </c>
      <c r="BA274" s="117">
        <v>103</v>
      </c>
      <c r="BC274" s="259"/>
      <c r="BE274" s="26">
        <v>103</v>
      </c>
      <c r="BF274" s="26">
        <v>130.24</v>
      </c>
      <c r="BH274" s="26">
        <v>103</v>
      </c>
      <c r="BI274" s="244"/>
      <c r="BJ274" s="16">
        <f>BH274+BI274</f>
        <v>103</v>
      </c>
      <c r="BK274" s="122">
        <f>IF(BH274=0," ",(BJ274-BH274)/BH274)</f>
        <v>0</v>
      </c>
      <c r="BM274" s="117">
        <v>103</v>
      </c>
      <c r="BN274" s="117">
        <v>103</v>
      </c>
      <c r="BP274" s="259"/>
      <c r="BR274" s="117">
        <v>103</v>
      </c>
      <c r="BS274" s="26"/>
      <c r="BU274" s="26">
        <v>103</v>
      </c>
      <c r="BV274" s="244">
        <v>-103</v>
      </c>
      <c r="BW274" s="576">
        <f t="shared" ref="BW274:BW275" si="144">BU274+BV274</f>
        <v>0</v>
      </c>
      <c r="BX274" s="577">
        <f>IF(BU274=0," ",(BW274-BU274)/BU274)</f>
        <v>-1</v>
      </c>
      <c r="BZ274" s="166">
        <v>0</v>
      </c>
      <c r="CA274" s="166">
        <v>0</v>
      </c>
      <c r="CC274" s="755" t="s">
        <v>1372</v>
      </c>
      <c r="CE274" s="166">
        <v>0</v>
      </c>
      <c r="CF274" s="166"/>
      <c r="CJ274" s="886"/>
      <c r="CK274" s="1"/>
      <c r="CO274" s="16"/>
    </row>
    <row r="275" spans="1:93" x14ac:dyDescent="0.3">
      <c r="A275" s="11">
        <v>176</v>
      </c>
      <c r="C275" s="325">
        <v>17605</v>
      </c>
      <c r="D275" s="325">
        <v>55800</v>
      </c>
      <c r="E275" s="49" t="s">
        <v>118</v>
      </c>
      <c r="G275" s="3" t="s">
        <v>1482</v>
      </c>
      <c r="H275" s="26"/>
      <c r="I275" s="244"/>
      <c r="M275" s="117"/>
      <c r="N275" s="117"/>
      <c r="P275" s="259"/>
      <c r="R275" s="26"/>
      <c r="S275" s="26"/>
      <c r="U275" s="26"/>
      <c r="V275" s="244"/>
      <c r="Z275" s="117"/>
      <c r="AA275" s="117"/>
      <c r="AC275" s="259"/>
      <c r="AE275" s="26"/>
      <c r="AF275" s="200"/>
      <c r="AH275" s="26"/>
      <c r="AI275" s="244"/>
      <c r="AM275" s="117"/>
      <c r="AN275" s="117"/>
      <c r="AP275" s="259"/>
      <c r="AR275" s="26"/>
      <c r="AS275" s="26"/>
      <c r="AU275" s="26"/>
      <c r="AV275" s="244"/>
      <c r="AZ275" s="117"/>
      <c r="BA275" s="117"/>
      <c r="BC275" s="259"/>
      <c r="BE275" s="26"/>
      <c r="BF275" s="26"/>
      <c r="BH275" s="26"/>
      <c r="BI275" s="244"/>
      <c r="BM275" s="117"/>
      <c r="BN275" s="117"/>
      <c r="BP275" s="259"/>
      <c r="BR275" s="117"/>
      <c r="BS275" s="26"/>
      <c r="BU275" s="26"/>
      <c r="BV275" s="244">
        <v>100</v>
      </c>
      <c r="BW275" s="576">
        <f t="shared" si="144"/>
        <v>100</v>
      </c>
      <c r="BZ275" s="166">
        <v>100</v>
      </c>
      <c r="CA275" s="166">
        <v>100</v>
      </c>
      <c r="CC275" s="755" t="s">
        <v>1372</v>
      </c>
      <c r="CE275" s="166">
        <v>100</v>
      </c>
      <c r="CF275" s="166"/>
      <c r="CJ275" s="886"/>
      <c r="CK275" s="1"/>
      <c r="CO275" s="16"/>
    </row>
    <row r="276" spans="1:93" x14ac:dyDescent="0.3">
      <c r="A276" s="11">
        <v>176</v>
      </c>
      <c r="B276" s="3" t="s">
        <v>2</v>
      </c>
      <c r="C276" s="37">
        <v>17605</v>
      </c>
      <c r="D276" s="37">
        <v>57300</v>
      </c>
      <c r="E276" s="49" t="s">
        <v>118</v>
      </c>
      <c r="F276" s="3" t="s">
        <v>2</v>
      </c>
      <c r="G276" s="3" t="s">
        <v>320</v>
      </c>
      <c r="H276" s="26">
        <v>77</v>
      </c>
      <c r="I276" s="244"/>
      <c r="J276" s="16">
        <f>H276+I276</f>
        <v>77</v>
      </c>
      <c r="K276" s="122">
        <f>IF(H276=0," ",(J276-H276)/H276)</f>
        <v>0</v>
      </c>
      <c r="M276" s="117">
        <v>77</v>
      </c>
      <c r="N276" s="117">
        <v>77</v>
      </c>
      <c r="P276" s="259"/>
      <c r="R276" s="26">
        <v>77</v>
      </c>
      <c r="S276" s="26">
        <v>0</v>
      </c>
      <c r="U276" s="26">
        <v>77</v>
      </c>
      <c r="V276" s="244">
        <v>0</v>
      </c>
      <c r="W276" s="16">
        <f>U276+V276</f>
        <v>77</v>
      </c>
      <c r="X276" s="122">
        <f>IF(U276=0," ",(W276-U276)/U276)</f>
        <v>0</v>
      </c>
      <c r="Z276" s="117">
        <v>77</v>
      </c>
      <c r="AA276" s="117">
        <v>77</v>
      </c>
      <c r="AC276" s="259"/>
      <c r="AE276" s="26">
        <v>77</v>
      </c>
      <c r="AF276" s="200">
        <v>0</v>
      </c>
      <c r="AH276" s="26">
        <v>77</v>
      </c>
      <c r="AI276" s="244"/>
      <c r="AJ276" s="16">
        <f>AH276+AI276</f>
        <v>77</v>
      </c>
      <c r="AK276" s="122">
        <f>IF(AH276=0," ",(AJ276-AH276)/AH276)</f>
        <v>0</v>
      </c>
      <c r="AM276" s="117">
        <v>77</v>
      </c>
      <c r="AN276" s="117">
        <v>77</v>
      </c>
      <c r="AP276" s="259"/>
      <c r="AR276" s="26">
        <v>77</v>
      </c>
      <c r="AS276" s="26">
        <v>0</v>
      </c>
      <c r="AU276" s="26">
        <f>AR276</f>
        <v>77</v>
      </c>
      <c r="AV276" s="244"/>
      <c r="AW276" s="16">
        <f>AU276+AV276</f>
        <v>77</v>
      </c>
      <c r="AX276" s="122">
        <f>IF(AU276=0," ",(AW276-AU276)/AU276)</f>
        <v>0</v>
      </c>
      <c r="AZ276" s="117">
        <v>77</v>
      </c>
      <c r="BA276" s="117">
        <v>77</v>
      </c>
      <c r="BC276" s="259"/>
      <c r="BE276" s="26">
        <v>77</v>
      </c>
      <c r="BF276" s="26"/>
      <c r="BH276" s="26">
        <v>77</v>
      </c>
      <c r="BI276" s="403">
        <v>-77</v>
      </c>
      <c r="BJ276" s="16">
        <f>BH276+BI276</f>
        <v>0</v>
      </c>
      <c r="BK276" s="122">
        <f>IF(BH276=0," ",(BJ276-BH276)/BH276)</f>
        <v>-1</v>
      </c>
      <c r="BM276" s="117">
        <v>0</v>
      </c>
      <c r="BN276" s="117">
        <v>0</v>
      </c>
      <c r="BP276" s="259"/>
      <c r="BR276" s="117">
        <v>0</v>
      </c>
      <c r="BS276" s="26"/>
      <c r="BU276" s="26">
        <v>0</v>
      </c>
      <c r="BV276" s="244"/>
      <c r="BW276" s="576">
        <f>BU276+BV276</f>
        <v>0</v>
      </c>
      <c r="BX276" s="577" t="str">
        <f>IF(BU276=0," ",(BW276-BU276)/BU276)</f>
        <v xml:space="preserve"> </v>
      </c>
      <c r="BZ276" s="166">
        <v>0</v>
      </c>
      <c r="CA276" s="166">
        <v>0</v>
      </c>
      <c r="CC276" s="776" t="s">
        <v>1485</v>
      </c>
      <c r="CE276" s="166">
        <v>0</v>
      </c>
      <c r="CF276" s="166"/>
      <c r="CJ276" s="886"/>
      <c r="CK276" s="1"/>
      <c r="CO276" s="16"/>
    </row>
    <row r="277" spans="1:93" s="19" customFormat="1" x14ac:dyDescent="0.3">
      <c r="A277" s="27"/>
      <c r="B277" s="8"/>
      <c r="C277" s="42"/>
      <c r="D277" s="42"/>
      <c r="E277" s="54"/>
      <c r="F277" s="8"/>
      <c r="G277" s="8" t="s">
        <v>122</v>
      </c>
      <c r="H277" s="28">
        <f t="shared" ref="H277" si="145">SUM(H272:H276)</f>
        <v>745</v>
      </c>
      <c r="I277" s="28">
        <f>SUM(I272:I276)</f>
        <v>0</v>
      </c>
      <c r="J277" s="28">
        <f>SUM(J272:J276)</f>
        <v>745</v>
      </c>
      <c r="K277" s="123">
        <f>IF(H277=0," ",(J277-H277)/H277)</f>
        <v>0</v>
      </c>
      <c r="M277" s="28">
        <f>SUM(M272:M276)</f>
        <v>745</v>
      </c>
      <c r="N277" s="28">
        <f>SUM(N272:N276)</f>
        <v>745</v>
      </c>
      <c r="P277" s="139">
        <f>SUM(P272:P276)</f>
        <v>0</v>
      </c>
      <c r="R277" s="28">
        <f>SUM(R272:R276)</f>
        <v>745</v>
      </c>
      <c r="S277" s="28">
        <f>SUM(S272:S276)</f>
        <v>553.67999999999995</v>
      </c>
      <c r="U277" s="28">
        <f>SUM(U272:U276)</f>
        <v>745</v>
      </c>
      <c r="V277" s="28">
        <f>SUM(V272:V276)</f>
        <v>0</v>
      </c>
      <c r="W277" s="28">
        <f>SUM(W272:W276)</f>
        <v>745</v>
      </c>
      <c r="X277" s="123">
        <f>IF(U277=0," ",(W277-U277)/U277)</f>
        <v>0</v>
      </c>
      <c r="Z277" s="28">
        <f>SUM(Z272:Z276)</f>
        <v>745</v>
      </c>
      <c r="AA277" s="28">
        <f>SUM(AA272:AA276)</f>
        <v>745</v>
      </c>
      <c r="AC277" s="139"/>
      <c r="AE277" s="28">
        <f>SUM(AE272:AE276)</f>
        <v>745</v>
      </c>
      <c r="AF277" s="201">
        <f>SUM(AF272:AF276)</f>
        <v>739.13</v>
      </c>
      <c r="AH277" s="28">
        <v>745</v>
      </c>
      <c r="AI277" s="28">
        <f>SUM(AI272:AI276)</f>
        <v>0</v>
      </c>
      <c r="AJ277" s="28">
        <f>SUM(AJ272:AJ276)</f>
        <v>745</v>
      </c>
      <c r="AK277" s="123">
        <f>IF(AH277=0," ",(AJ277-AH277)/AH277)</f>
        <v>0</v>
      </c>
      <c r="AM277" s="28">
        <f>SUM(AM272:AM276)</f>
        <v>745</v>
      </c>
      <c r="AN277" s="28">
        <f>SUM(AN272:AN276)</f>
        <v>745</v>
      </c>
      <c r="AP277" s="139"/>
      <c r="AR277" s="28">
        <f>SUM(AR272:AR276)</f>
        <v>745</v>
      </c>
      <c r="AS277" s="28">
        <f>SUM(AS272:AS276)</f>
        <v>214.32</v>
      </c>
      <c r="AU277" s="28">
        <f>SUM(AU272:AU276)</f>
        <v>745</v>
      </c>
      <c r="AV277" s="28">
        <f>SUM(AV272:AV276)</f>
        <v>0</v>
      </c>
      <c r="AW277" s="28">
        <f>SUM(AW272:AW276)</f>
        <v>745</v>
      </c>
      <c r="AX277" s="123">
        <f>IF(AU277=0," ",(AW277-AU277)/AU277)</f>
        <v>0</v>
      </c>
      <c r="AZ277" s="28">
        <f>SUM(AZ272:AZ276)</f>
        <v>745</v>
      </c>
      <c r="BA277" s="28">
        <f>SUM(BA272:BA276)</f>
        <v>745</v>
      </c>
      <c r="BC277" s="139"/>
      <c r="BE277" s="28">
        <f>SUM(BE272:BE276)</f>
        <v>745</v>
      </c>
      <c r="BF277" s="28">
        <f>SUM(BF272:BF276)</f>
        <v>130.24</v>
      </c>
      <c r="BG277" s="9"/>
      <c r="BH277" s="28">
        <f>SUM(BH272:BH276)</f>
        <v>745</v>
      </c>
      <c r="BI277" s="28">
        <f>SUM(BI272:BI276)</f>
        <v>0</v>
      </c>
      <c r="BJ277" s="28">
        <f>SUM(BJ272:BJ276)</f>
        <v>745</v>
      </c>
      <c r="BK277" s="123">
        <f>IF(BH277=0," ",(BJ277-BH277)/BH277)</f>
        <v>0</v>
      </c>
      <c r="BM277" s="28">
        <f>SUM(BM272:BM276)</f>
        <v>745</v>
      </c>
      <c r="BN277" s="28">
        <f>SUM(BN272:BN276)</f>
        <v>745</v>
      </c>
      <c r="BP277" s="139"/>
      <c r="BR277" s="28">
        <f>SUM(BR272:BR276)</f>
        <v>745</v>
      </c>
      <c r="BS277" s="28">
        <f>SUM(BS272:BS276)</f>
        <v>0</v>
      </c>
      <c r="BT277" s="9"/>
      <c r="BU277" s="28">
        <f>SUM(BU272:BU276)</f>
        <v>745</v>
      </c>
      <c r="BV277" s="532">
        <f>SUM(BV272:BV276)</f>
        <v>5</v>
      </c>
      <c r="BW277" s="591">
        <f>SUM(BW272:BW276)</f>
        <v>750</v>
      </c>
      <c r="BX277" s="579">
        <f>IF(BU277=0," ",(BW277-BU277)/BU277)</f>
        <v>6.7114093959731542E-3</v>
      </c>
      <c r="BY277" s="580"/>
      <c r="BZ277" s="591">
        <f>SUM(BZ272:BZ276)</f>
        <v>750</v>
      </c>
      <c r="CA277" s="591">
        <f>SUM(CA272:CA276)</f>
        <v>750</v>
      </c>
      <c r="CB277" s="580"/>
      <c r="CC277" s="769"/>
      <c r="CD277" s="580"/>
      <c r="CE277" s="591">
        <f>SUM(CE272:CE276)</f>
        <v>750</v>
      </c>
      <c r="CF277" s="591">
        <f>SUM(CF272:CF276)</f>
        <v>0</v>
      </c>
      <c r="CG277" s="9"/>
      <c r="CH277" s="815"/>
      <c r="CI277" s="815"/>
      <c r="CJ277" s="886"/>
      <c r="CK277" s="1"/>
      <c r="CO277" s="16"/>
    </row>
    <row r="278" spans="1:93" ht="9.9" customHeight="1" x14ac:dyDescent="0.3">
      <c r="AS278" s="16"/>
      <c r="CJ278" s="886"/>
      <c r="CK278" s="1"/>
      <c r="CO278" s="16"/>
    </row>
    <row r="279" spans="1:93" s="1" customFormat="1" x14ac:dyDescent="0.3">
      <c r="A279" s="20"/>
      <c r="B279" s="5"/>
      <c r="C279" s="39"/>
      <c r="D279" s="39"/>
      <c r="E279" s="51"/>
      <c r="F279" s="5"/>
      <c r="G279" s="21" t="s">
        <v>123</v>
      </c>
      <c r="H279" s="22">
        <f>H277</f>
        <v>745</v>
      </c>
      <c r="I279" s="22">
        <f>I277</f>
        <v>0</v>
      </c>
      <c r="J279" s="22">
        <f>J277</f>
        <v>745</v>
      </c>
      <c r="K279" s="124">
        <f>IF(H279=0," ",(J279-H279)/H279)</f>
        <v>0</v>
      </c>
      <c r="M279" s="22">
        <f>M277</f>
        <v>745</v>
      </c>
      <c r="N279" s="22">
        <f>N277</f>
        <v>745</v>
      </c>
      <c r="P279" s="136">
        <f>P277</f>
        <v>0</v>
      </c>
      <c r="R279" s="22">
        <f>R277</f>
        <v>745</v>
      </c>
      <c r="S279" s="22">
        <f>S277</f>
        <v>553.67999999999995</v>
      </c>
      <c r="U279" s="22">
        <f>U277</f>
        <v>745</v>
      </c>
      <c r="V279" s="22">
        <f>V277</f>
        <v>0</v>
      </c>
      <c r="W279" s="22">
        <f>W277</f>
        <v>745</v>
      </c>
      <c r="X279" s="124">
        <f>IF(U279=0," ",(W279-U279)/U279)</f>
        <v>0</v>
      </c>
      <c r="Z279" s="22">
        <f>Z277</f>
        <v>745</v>
      </c>
      <c r="AA279" s="22">
        <f>AA277</f>
        <v>745</v>
      </c>
      <c r="AC279" s="136"/>
      <c r="AE279" s="22">
        <f>AE277</f>
        <v>745</v>
      </c>
      <c r="AF279" s="199">
        <f>AF277</f>
        <v>739.13</v>
      </c>
      <c r="AH279" s="22">
        <v>745</v>
      </c>
      <c r="AI279" s="22">
        <f>AI277</f>
        <v>0</v>
      </c>
      <c r="AJ279" s="22">
        <f>AJ277</f>
        <v>745</v>
      </c>
      <c r="AK279" s="124">
        <f>IF(AH279=0," ",(AJ279-AH279)/AH279)</f>
        <v>0</v>
      </c>
      <c r="AM279" s="22">
        <f>AM277</f>
        <v>745</v>
      </c>
      <c r="AN279" s="22">
        <f>AN277</f>
        <v>745</v>
      </c>
      <c r="AP279" s="136"/>
      <c r="AR279" s="22">
        <f>AR277</f>
        <v>745</v>
      </c>
      <c r="AS279" s="22">
        <f>AS277</f>
        <v>214.32</v>
      </c>
      <c r="AU279" s="22">
        <f>AU277</f>
        <v>745</v>
      </c>
      <c r="AV279" s="22">
        <f>AV277</f>
        <v>0</v>
      </c>
      <c r="AW279" s="22">
        <f>AW277</f>
        <v>745</v>
      </c>
      <c r="AX279" s="124">
        <f>IF(AU279=0," ",(AW279-AU279)/AU279)</f>
        <v>0</v>
      </c>
      <c r="AZ279" s="22">
        <f>AZ277</f>
        <v>745</v>
      </c>
      <c r="BA279" s="22">
        <f>BA277</f>
        <v>745</v>
      </c>
      <c r="BC279" s="136"/>
      <c r="BE279" s="22">
        <f>BE277</f>
        <v>745</v>
      </c>
      <c r="BF279" s="22">
        <f>BF277</f>
        <v>130.24</v>
      </c>
      <c r="BH279" s="22">
        <f>BH277</f>
        <v>745</v>
      </c>
      <c r="BI279" s="22">
        <f>BI277</f>
        <v>0</v>
      </c>
      <c r="BJ279" s="22">
        <f>BJ277</f>
        <v>745</v>
      </c>
      <c r="BK279" s="124">
        <f>IF(BH279=0," ",(BJ279-BH279)/BH279)</f>
        <v>0</v>
      </c>
      <c r="BM279" s="22">
        <f>BM277</f>
        <v>745</v>
      </c>
      <c r="BN279" s="22">
        <f>BN277</f>
        <v>745</v>
      </c>
      <c r="BP279" s="136"/>
      <c r="BR279" s="22">
        <f>BR277</f>
        <v>745</v>
      </c>
      <c r="BS279" s="22">
        <f>BS277</f>
        <v>0</v>
      </c>
      <c r="BU279" s="22">
        <f>BU277</f>
        <v>745</v>
      </c>
      <c r="BV279" s="531">
        <f>BV277</f>
        <v>5</v>
      </c>
      <c r="BW279" s="581">
        <f>BW277</f>
        <v>750</v>
      </c>
      <c r="BX279" s="582">
        <f>IF(BU279=0," ",(BW279-BU279)/BU279)</f>
        <v>6.7114093959731542E-3</v>
      </c>
      <c r="BY279" s="573"/>
      <c r="BZ279" s="581">
        <f>BZ277</f>
        <v>750</v>
      </c>
      <c r="CA279" s="581">
        <f>CA277</f>
        <v>750</v>
      </c>
      <c r="CB279" s="573"/>
      <c r="CC279" s="764"/>
      <c r="CD279" s="573"/>
      <c r="CE279" s="581">
        <f>CE277</f>
        <v>750</v>
      </c>
      <c r="CF279" s="581">
        <f>CF277</f>
        <v>0</v>
      </c>
      <c r="CH279" s="812"/>
      <c r="CI279" s="812"/>
      <c r="CJ279" s="886"/>
      <c r="CO279" s="16"/>
    </row>
    <row r="280" spans="1:93" ht="20.100000000000001" customHeight="1" x14ac:dyDescent="0.3">
      <c r="AS280" s="16"/>
      <c r="CO280" s="16"/>
    </row>
    <row r="281" spans="1:93" s="1" customFormat="1" ht="20.100000000000001" customHeight="1" x14ac:dyDescent="0.3">
      <c r="A281" s="58" t="s">
        <v>337</v>
      </c>
      <c r="B281" s="59"/>
      <c r="C281" s="60"/>
      <c r="D281" s="60"/>
      <c r="E281" s="61"/>
      <c r="F281" s="59"/>
      <c r="G281" s="59"/>
      <c r="H281" s="62">
        <f>H279+H269+H253+H240+H234+H200+H184+H178+H144+H115+H87+H67+H52+H41+H9</f>
        <v>1252982</v>
      </c>
      <c r="I281" s="62">
        <f>I279+I269+I253+I240+I234+I200+I184+I178+I144+I115+I87+I67+I52+I41+I9</f>
        <v>80190.080000000002</v>
      </c>
      <c r="J281" s="62">
        <f>J279+J269+J253+J240+J234+J200+J184+J178+J144+J115+J87+J67+J52+J41+J9</f>
        <v>1333172.08</v>
      </c>
      <c r="K281" s="120">
        <f>IF(H281=0," ",(J281-H281)/H281)</f>
        <v>6.3999387062224411E-2</v>
      </c>
      <c r="M281" s="62">
        <f>M279+M269+M253+M240+M234+M200+M184+M178+M144+M115+M87+M67+M52+M41+M9</f>
        <v>1421760</v>
      </c>
      <c r="N281" s="62">
        <f>N279+N269+N253+N240+N234+N200+N184+N178+N144+N115+N87+N67+N52+N41+N9</f>
        <v>1421760</v>
      </c>
      <c r="P281" s="132">
        <f>P279+P269+P253+P240+P234+P200+P184+P178+P144+P115+P87+P67+P52+P41+P9</f>
        <v>0</v>
      </c>
      <c r="R281" s="62">
        <f>R279+R269+R253+R240+R234+R200+R184+R178+R144+R115+R87+R67+R52+R41+R9</f>
        <v>1421760</v>
      </c>
      <c r="S281" s="62">
        <f>S279+S269+S253+S240+S234+S200+S184+S178+S144+S115+S87+S67+S52+S41+S9</f>
        <v>1299955.8800000001</v>
      </c>
      <c r="U281" s="62">
        <f>U279+U269+U253+U240+U234+U200+U184+U178+U144+U115+U87+U67+U52+U41+U9</f>
        <v>1426340</v>
      </c>
      <c r="V281" s="62">
        <f>V279+V269+V253+V240+V234+V200+V184+V178+V144+V115+V87+V67+V52+V41+V9</f>
        <v>38946</v>
      </c>
      <c r="W281" s="62">
        <f>W279+W269+W253+W240+W234+W200+W184+W178+W144+W115+W87+W67+W52+W41+W9</f>
        <v>1465286</v>
      </c>
      <c r="X281" s="120">
        <f>IF(U281=0," ",(W281-U281)/U281)</f>
        <v>2.7304850175974872E-2</v>
      </c>
      <c r="Z281" s="62">
        <f>Z279+Z269+Z253+Z240+Z234+Z200+Z184+Z178+Z144+Z115+Z87+Z67+Z52+Z41+Z9</f>
        <v>1465286</v>
      </c>
      <c r="AA281" s="62">
        <f>AA279+AA269+AA253+AA240+AA234+AA200+AA184+AA178+AA144+AA115+AA87+AA67+AA52+AA41+AA9</f>
        <v>1485186</v>
      </c>
      <c r="AC281" s="132"/>
      <c r="AE281" s="62">
        <f>AE279+AE269+AE253+AE240+AE234+AE200+AE184+AE178+AE144+AE115+AE87+AE67+AE52+AE41+AE9</f>
        <v>1485186</v>
      </c>
      <c r="AF281" s="195">
        <f>AF279+AF269+AF253+AF240+AF234+AF200+AF184+AF178+AF144+AF115+AF87+AF67+AF52+AF41+AF9</f>
        <v>1511738.73</v>
      </c>
      <c r="AH281" s="62">
        <v>1485270</v>
      </c>
      <c r="AI281" s="62">
        <f>AI279+AI269+AI253+AI240+AI234+AI200+AI184+AI178+AI144+AI115+AI87+AI67+AI52+AI41+AI9</f>
        <v>48274</v>
      </c>
      <c r="AJ281" s="62">
        <f>AJ279+AJ269+AJ253+AJ240+AJ234+AJ200+AJ184+AJ178+AJ144+AJ115+AJ87+AJ67+AJ52+AJ41+AJ9</f>
        <v>1529481.58</v>
      </c>
      <c r="AK281" s="120">
        <f>IF(AH281=0," ",(AJ281-AH281)/AH281)</f>
        <v>2.9766695617631862E-2</v>
      </c>
      <c r="AM281" s="62">
        <f>AM279+AM269+AM253+AM240+AM234+AM200+AM184+AM178+AM144+AM115+AM87+AM67+AM52+AM41+AM9</f>
        <v>1638795</v>
      </c>
      <c r="AN281" s="62">
        <f>AN279+AN269+AN253+AN240+AN234+AN200+AN184+AN178+AN144+AN115+AN87+AN67+AN52+AN41+AN9</f>
        <v>1638795</v>
      </c>
      <c r="AP281" s="132"/>
      <c r="AR281" s="62">
        <f>AR279+AR269+AR253+AR240+AR234+AR200+AR184+AR178+AR144+AR115+AR87+AR67+AR52+AR41+AR9</f>
        <v>1648375</v>
      </c>
      <c r="AS281" s="62">
        <f>AS279+AS269+AS253+AS240+AS234+AS200+AS184+AS178+AS144+AS115+AS87+AS67+AS52+AS41+AS9</f>
        <v>1428803.55</v>
      </c>
      <c r="AU281" s="62">
        <f>AU279+AU269+AU253+AU240+AU234+AU200+AU184+AU178+AU144+AU115+AU87+AU67+AU52+AU41+AU9</f>
        <v>1648375</v>
      </c>
      <c r="AV281" s="62">
        <f>AV279+AV269+AV253+AV240+AV234+AV200+AV184+AV178+AV144+AV115+AV87+AV67+AV52+AV41+AV9</f>
        <v>26043</v>
      </c>
      <c r="AW281" s="62">
        <f>AW279+AW269+AW253+AW240+AW234+AW200+AW184+AW178+AW144+AW115+AW87+AW67+AW52+AW41+AW9</f>
        <v>1674418</v>
      </c>
      <c r="AX281" s="120">
        <f>IF(AU281=0," ",(AW281-AU281)/AU281)</f>
        <v>1.5799196178054146E-2</v>
      </c>
      <c r="AZ281" s="62">
        <f>AZ279+AZ269+AZ253+AZ240+AZ234+AZ200+AZ184+AZ178+AZ144+AZ115+AZ87+AZ67+AZ52+AZ41+AZ9</f>
        <v>1670499</v>
      </c>
      <c r="BA281" s="62">
        <f>BA279+BA269+BA253+BA240+BA234+BA200+BA184+BA178+BA144+BA115+BA87+BA67+BA52+BA41+BA9</f>
        <v>1664170</v>
      </c>
      <c r="BC281" s="132"/>
      <c r="BE281" s="62">
        <f>BE279+BE269+BE253+BE240+BE234+BE200+BE184+BE178+BE144+BE115+BE87+BE67+BE52+BE41+BE9</f>
        <v>1664170</v>
      </c>
      <c r="BF281" s="62">
        <f>BF279+BF269+BF253+BF240+BF234+BF200+BF184+BF178+BF144+BF115+BF87+BF67+BF52+BF41+BF9</f>
        <v>1486810.96</v>
      </c>
      <c r="BH281" s="62">
        <f>BH279+BH269+BH253+BH240+BH234+BH200+BH184+BH178+BH144+BH115+BH87+BH67+BH52+BH41+BH9</f>
        <v>1664170</v>
      </c>
      <c r="BI281" s="62">
        <f>BI279+BI269+BI253+BI240+BI234+BI200+BI184+BI178+BI144+BI115+BI87+BI67+BI52+BI41+BI9</f>
        <v>7427</v>
      </c>
      <c r="BJ281" s="62">
        <f>BJ279+BJ269+BJ253+BJ240+BJ234+BJ200+BJ184+BJ178+BJ144+BJ115+BJ87+BJ67+BJ52+BJ41+BJ9</f>
        <v>1671597</v>
      </c>
      <c r="BK281" s="120">
        <f>IF(BH281=0," ",(BJ281-BH281)/BH281)</f>
        <v>4.4628854023326947E-3</v>
      </c>
      <c r="BM281" s="62">
        <f>BM279+BM269+BM253+BM240+BM234+BM200+BM184+BM178+BM144+BM115+BM87+BM67+BM52+BM41+BM9</f>
        <v>1671597</v>
      </c>
      <c r="BN281" s="62">
        <f>BN279+BN269+BN253+BN240+BN234+BN200+BN184+BN178+BN144+BN115+BN87+BN67+BN52+BN41+BN9</f>
        <v>1705960</v>
      </c>
      <c r="BP281" s="398"/>
      <c r="BR281" s="62">
        <f>BR279+BR269+BR253+BR240+BR234+BR200+BR184+BR178+BR144+BR115+BR87+BR67+BR52+BR41+BR9</f>
        <v>1705960</v>
      </c>
      <c r="BS281" s="62">
        <f>BS279+BS269+BS253+BS240+BS234+BS200+BS184+BS178+BS144+BS115+BS87+BS67+BS52+BS41+BS9</f>
        <v>633173.84</v>
      </c>
      <c r="BU281" s="62">
        <f>BU279+BU269+BU253+BU240+BU234+BU200+BU184+BU178+BU144+BU115+BU87+BU67+BU52+BU41+BU9</f>
        <v>1705960</v>
      </c>
      <c r="BV281" s="62">
        <f>BV279+BV269+BV253+BV240+BV234+BV200+BV184+BV178+BV144+BV115+BV87+BV67+BV52+BV41+BV9</f>
        <v>14040</v>
      </c>
      <c r="BW281" s="62">
        <f>BW279+BW269+BW253+BW240+BW234+BW200+BW184+BW178+BW144+BW115+BW87+BW67+BW52+BW41+BW9</f>
        <v>1720000</v>
      </c>
      <c r="BX281" s="120">
        <f>IF(BU281=0," ",(BW281-BU281)/BU281)</f>
        <v>8.229970222045066E-3</v>
      </c>
      <c r="BY281" s="573"/>
      <c r="BZ281" s="62">
        <f>BZ279+BZ269+BZ253+BZ240+BZ234+BZ200+BZ184+BZ178+BZ144+BZ115+BZ87+BZ67+BZ52+BZ41+BZ9</f>
        <v>1720000</v>
      </c>
      <c r="CA281" s="62">
        <f>CA279+CA269+CA253+CA240+CA234+CA200+CA184+CA178+CA144+CA115+CA87+CA67+CA52+CA41+CA9</f>
        <v>1758942</v>
      </c>
      <c r="CB281" s="573"/>
      <c r="CC281" s="760"/>
      <c r="CD281" s="573"/>
      <c r="CE281" s="62">
        <f>CE279+CE269+CE253+CE240+CE234+CE200+CE184+CE178+CE144+CE115+CE87+CE67+CE52+CE41+CE9</f>
        <v>1758942</v>
      </c>
      <c r="CF281" s="62">
        <f>CF279+CF269+CF253+CF240+CF234+CF200+CF184+CF178+CF144+CF115+CF87+CF67+CF52+CF41+CF9</f>
        <v>0</v>
      </c>
      <c r="CH281" s="812"/>
      <c r="CI281" s="912">
        <v>1733340</v>
      </c>
      <c r="CJ281" s="888">
        <v>44634</v>
      </c>
      <c r="CK281" s="892" t="s">
        <v>1622</v>
      </c>
      <c r="CL281" s="892" t="s">
        <v>1620</v>
      </c>
      <c r="CM281" s="1" t="s">
        <v>1621</v>
      </c>
      <c r="CO281" s="16"/>
    </row>
    <row r="282" spans="1:93" s="1" customFormat="1" ht="20.100000000000001" customHeight="1" x14ac:dyDescent="0.3">
      <c r="A282" s="33"/>
      <c r="B282" s="10"/>
      <c r="C282" s="44"/>
      <c r="D282" s="44"/>
      <c r="E282" s="55"/>
      <c r="F282" s="10"/>
      <c r="G282" s="10"/>
      <c r="H282" s="34"/>
      <c r="I282" s="34"/>
      <c r="J282" s="34"/>
      <c r="K282" s="129"/>
      <c r="M282" s="34"/>
      <c r="N282" s="188"/>
      <c r="P282" s="142"/>
      <c r="R282" s="188"/>
      <c r="S282" s="188"/>
      <c r="U282" s="188"/>
      <c r="V282" s="34"/>
      <c r="W282" s="34"/>
      <c r="X282" s="129"/>
      <c r="Z282" s="34"/>
      <c r="AA282" s="188"/>
      <c r="AC282" s="142"/>
      <c r="AE282" s="188"/>
      <c r="AF282" s="277"/>
      <c r="AH282" s="188"/>
      <c r="AI282" s="34"/>
      <c r="AJ282" s="34"/>
      <c r="AK282" s="129"/>
      <c r="AM282" s="34"/>
      <c r="AN282" s="188"/>
      <c r="AP282" s="142"/>
      <c r="AR282" s="188"/>
      <c r="AS282" s="188"/>
      <c r="AU282" s="188"/>
      <c r="AV282" s="34"/>
      <c r="AW282" s="34"/>
      <c r="AX282" s="129"/>
      <c r="AZ282" s="34"/>
      <c r="BA282" s="188"/>
      <c r="BC282" s="142"/>
      <c r="BE282" s="188"/>
      <c r="BF282" s="188"/>
      <c r="BH282" s="188"/>
      <c r="BI282" s="34"/>
      <c r="BJ282" s="34"/>
      <c r="BK282" s="129"/>
      <c r="BM282" s="188"/>
      <c r="BN282" s="188"/>
      <c r="BP282" s="140"/>
      <c r="BR282" s="188"/>
      <c r="BS282" s="188"/>
      <c r="BU282" s="188"/>
      <c r="BV282" s="534"/>
      <c r="BW282" s="305"/>
      <c r="BX282" s="593"/>
      <c r="BY282" s="573"/>
      <c r="BZ282" s="305"/>
      <c r="CA282" s="305"/>
      <c r="CB282" s="573"/>
      <c r="CC282" s="752"/>
      <c r="CD282" s="573"/>
      <c r="CE282" s="305"/>
      <c r="CF282" s="305"/>
      <c r="CH282" s="812"/>
      <c r="CI282" s="812"/>
      <c r="CJ282" s="886"/>
      <c r="CO282" s="16"/>
    </row>
    <row r="283" spans="1:93" s="1" customFormat="1" ht="20.100000000000001" customHeight="1" x14ac:dyDescent="0.3">
      <c r="A283" s="63" t="s">
        <v>343</v>
      </c>
      <c r="B283" s="59"/>
      <c r="C283" s="60"/>
      <c r="D283" s="60"/>
      <c r="E283" s="61"/>
      <c r="F283" s="59"/>
      <c r="G283" s="59"/>
      <c r="H283" s="62"/>
      <c r="I283" s="62"/>
      <c r="J283" s="62"/>
      <c r="K283" s="120"/>
      <c r="M283" s="62"/>
      <c r="N283" s="62"/>
      <c r="P283" s="132"/>
      <c r="R283" s="62"/>
      <c r="S283" s="62"/>
      <c r="U283" s="62"/>
      <c r="V283" s="62"/>
      <c r="W283" s="62"/>
      <c r="X283" s="120"/>
      <c r="Z283" s="62"/>
      <c r="AA283" s="62"/>
      <c r="AC283" s="132"/>
      <c r="AE283" s="62"/>
      <c r="AF283" s="195"/>
      <c r="AH283" s="62"/>
      <c r="AI283" s="62"/>
      <c r="AJ283" s="62"/>
      <c r="AK283" s="120"/>
      <c r="AM283" s="62"/>
      <c r="AN283" s="62"/>
      <c r="AP283" s="132"/>
      <c r="AR283" s="62"/>
      <c r="AS283" s="62"/>
      <c r="AU283" s="62"/>
      <c r="AV283" s="62"/>
      <c r="AW283" s="62"/>
      <c r="AX283" s="120"/>
      <c r="AZ283" s="62"/>
      <c r="BA283" s="62"/>
      <c r="BC283" s="132"/>
      <c r="BE283" s="62"/>
      <c r="BF283" s="62"/>
      <c r="BH283" s="62"/>
      <c r="BI283" s="62"/>
      <c r="BJ283" s="62"/>
      <c r="BK283" s="120"/>
      <c r="BM283" s="62"/>
      <c r="BN283" s="62"/>
      <c r="BP283" s="398"/>
      <c r="BR283" s="62"/>
      <c r="BS283" s="62"/>
      <c r="BU283" s="62"/>
      <c r="BV283" s="528"/>
      <c r="BW283" s="571"/>
      <c r="BX283" s="572"/>
      <c r="BY283" s="573"/>
      <c r="BZ283" s="571"/>
      <c r="CA283" s="571"/>
      <c r="CB283" s="573"/>
      <c r="CC283" s="760"/>
      <c r="CD283" s="573"/>
      <c r="CE283" s="571"/>
      <c r="CF283" s="571"/>
      <c r="CH283" s="812"/>
      <c r="CI283" s="812"/>
      <c r="CJ283" s="886"/>
      <c r="CO283" s="16"/>
    </row>
    <row r="284" spans="1:93" s="1" customFormat="1" ht="15.6" x14ac:dyDescent="0.3">
      <c r="A284" s="14" t="s">
        <v>158</v>
      </c>
      <c r="B284" s="2"/>
      <c r="C284" s="36"/>
      <c r="D284" s="36"/>
      <c r="E284" s="48"/>
      <c r="F284" s="2"/>
      <c r="G284" s="2"/>
      <c r="H284" s="15"/>
      <c r="I284" s="15"/>
      <c r="J284" s="15"/>
      <c r="K284" s="121"/>
      <c r="M284" s="15"/>
      <c r="N284" s="15"/>
      <c r="P284" s="133"/>
      <c r="R284" s="15"/>
      <c r="S284" s="15"/>
      <c r="U284" s="15"/>
      <c r="V284" s="15"/>
      <c r="W284" s="15"/>
      <c r="X284" s="121"/>
      <c r="Z284" s="15"/>
      <c r="AA284" s="15"/>
      <c r="AC284" s="133"/>
      <c r="AE284" s="15"/>
      <c r="AF284" s="196"/>
      <c r="AH284" s="15"/>
      <c r="AI284" s="15"/>
      <c r="AJ284" s="15"/>
      <c r="AK284" s="121"/>
      <c r="AM284" s="15"/>
      <c r="AN284" s="15"/>
      <c r="AP284" s="133"/>
      <c r="AR284" s="15"/>
      <c r="AS284" s="15"/>
      <c r="AU284" s="15"/>
      <c r="AV284" s="15"/>
      <c r="AW284" s="15"/>
      <c r="AX284" s="121"/>
      <c r="AZ284" s="15"/>
      <c r="BA284" s="15"/>
      <c r="BC284" s="133"/>
      <c r="BE284" s="15"/>
      <c r="BF284" s="15"/>
      <c r="BH284" s="15"/>
      <c r="BI284" s="15"/>
      <c r="BJ284" s="15"/>
      <c r="BK284" s="121"/>
      <c r="BM284" s="15"/>
      <c r="BN284" s="15"/>
      <c r="BP284" s="234"/>
      <c r="BR284" s="15"/>
      <c r="BS284" s="15"/>
      <c r="BU284" s="15"/>
      <c r="BV284" s="529"/>
      <c r="BW284" s="574"/>
      <c r="BX284" s="575"/>
      <c r="BY284" s="573"/>
      <c r="BZ284" s="574"/>
      <c r="CA284" s="574"/>
      <c r="CB284" s="573"/>
      <c r="CC284" s="761"/>
      <c r="CD284" s="573"/>
      <c r="CE284" s="574"/>
      <c r="CF284" s="574"/>
      <c r="CH284" s="812"/>
      <c r="CI284" s="812"/>
      <c r="CJ284" s="886"/>
      <c r="CO284" s="16"/>
    </row>
    <row r="285" spans="1:93" x14ac:dyDescent="0.3">
      <c r="A285" s="11">
        <v>210</v>
      </c>
      <c r="B285" s="3" t="s">
        <v>2</v>
      </c>
      <c r="C285" s="37">
        <v>21001</v>
      </c>
      <c r="D285" s="37">
        <v>51120</v>
      </c>
      <c r="E285" s="49" t="s">
        <v>119</v>
      </c>
      <c r="F285" s="3" t="s">
        <v>2</v>
      </c>
      <c r="G285" s="3" t="s">
        <v>321</v>
      </c>
      <c r="H285" s="26">
        <v>115315</v>
      </c>
      <c r="I285" s="244"/>
      <c r="J285" s="16">
        <f>H285+I285</f>
        <v>115315</v>
      </c>
      <c r="K285" s="122">
        <f>IF(H285=0," ",(J285-H285)/H285)</f>
        <v>0</v>
      </c>
      <c r="M285" s="117">
        <v>115315</v>
      </c>
      <c r="N285" s="117">
        <v>115315</v>
      </c>
      <c r="P285" s="259"/>
      <c r="R285" s="26">
        <v>115315</v>
      </c>
      <c r="S285" s="26">
        <v>125000.2</v>
      </c>
      <c r="U285" s="26">
        <v>115315</v>
      </c>
      <c r="V285" s="244">
        <v>12185</v>
      </c>
      <c r="W285" s="16">
        <f>U285+V285</f>
        <v>127500</v>
      </c>
      <c r="X285" s="122">
        <f>IF(U285=0," ",(W285-U285)/U285)</f>
        <v>0.10566708580843776</v>
      </c>
      <c r="Z285" s="117">
        <v>127500</v>
      </c>
      <c r="AA285" s="117">
        <v>127500</v>
      </c>
      <c r="AC285" s="259" t="s">
        <v>674</v>
      </c>
      <c r="AE285" s="26">
        <v>127500</v>
      </c>
      <c r="AF285" s="200">
        <v>127500</v>
      </c>
      <c r="AH285" s="26">
        <v>127500</v>
      </c>
      <c r="AI285" s="244">
        <v>2550</v>
      </c>
      <c r="AJ285" s="16">
        <f>AH285+AI285</f>
        <v>130050</v>
      </c>
      <c r="AK285" s="122">
        <f>IF(AH285=0," ",(AJ285-AH285)/AH285)</f>
        <v>0.02</v>
      </c>
      <c r="AM285" s="117">
        <v>130050</v>
      </c>
      <c r="AN285" s="117">
        <v>130050</v>
      </c>
      <c r="AP285" s="259"/>
      <c r="AR285" s="26">
        <v>130050</v>
      </c>
      <c r="AS285" s="26">
        <v>129243.85</v>
      </c>
      <c r="AU285" s="26">
        <f>AR285</f>
        <v>130050</v>
      </c>
      <c r="AV285" s="244"/>
      <c r="AW285" s="16">
        <f>AU285+AV285</f>
        <v>130050</v>
      </c>
      <c r="AX285" s="122">
        <f>IF(AU285=0," ",(AW285-AU285)/AU285)</f>
        <v>0</v>
      </c>
      <c r="AZ285" s="117">
        <v>130050</v>
      </c>
      <c r="BA285" s="117">
        <v>125250</v>
      </c>
      <c r="BC285" s="259" t="s">
        <v>1090</v>
      </c>
      <c r="BE285" s="26">
        <v>125250</v>
      </c>
      <c r="BF285" s="26">
        <v>125250</v>
      </c>
      <c r="BH285" s="26">
        <v>125250</v>
      </c>
      <c r="BI285" s="244">
        <v>2505</v>
      </c>
      <c r="BJ285" s="16">
        <f>BH285+BI285</f>
        <v>127755</v>
      </c>
      <c r="BK285" s="122">
        <f>IF(BH285=0," ",(BJ285-BH285)/BH285)</f>
        <v>0.02</v>
      </c>
      <c r="BM285" s="117">
        <v>127755</v>
      </c>
      <c r="BN285" s="117">
        <v>127755</v>
      </c>
      <c r="BP285" s="259" t="s">
        <v>1117</v>
      </c>
      <c r="BR285" s="117">
        <v>127755</v>
      </c>
      <c r="BS285" s="26">
        <v>57269.4</v>
      </c>
      <c r="BU285" s="26">
        <v>127755</v>
      </c>
      <c r="BV285" s="533">
        <v>2550</v>
      </c>
      <c r="BW285" s="576">
        <f>BU285+BV285</f>
        <v>130305</v>
      </c>
      <c r="BX285" s="577">
        <f>IF(BU285=0," ",(BW285-BU285)/BU285)</f>
        <v>1.9960079840319361E-2</v>
      </c>
      <c r="BZ285" s="166">
        <v>130305</v>
      </c>
      <c r="CA285" s="166">
        <v>130305</v>
      </c>
      <c r="CC285" s="753" t="s">
        <v>1117</v>
      </c>
      <c r="CE285" s="166">
        <v>130305</v>
      </c>
      <c r="CF285" s="166"/>
      <c r="CO285" s="16"/>
    </row>
    <row r="286" spans="1:93" x14ac:dyDescent="0.3">
      <c r="A286" s="12">
        <v>210</v>
      </c>
      <c r="B286" s="1" t="s">
        <v>2</v>
      </c>
      <c r="C286" s="35">
        <v>21001</v>
      </c>
      <c r="D286" s="35">
        <v>51121</v>
      </c>
      <c r="E286" s="47" t="s">
        <v>119</v>
      </c>
      <c r="F286" s="1" t="s">
        <v>2</v>
      </c>
      <c r="G286" s="1" t="s">
        <v>772</v>
      </c>
      <c r="H286" s="26">
        <v>0</v>
      </c>
      <c r="I286" s="244"/>
      <c r="J286" s="16">
        <f>H286+I286</f>
        <v>0</v>
      </c>
      <c r="K286" s="122" t="str">
        <f>IF(H286=0," ",(J286-H286)/H286)</f>
        <v xml:space="preserve"> </v>
      </c>
      <c r="M286" s="117">
        <v>0</v>
      </c>
      <c r="N286" s="117"/>
      <c r="P286" s="259"/>
      <c r="R286" s="26">
        <v>0</v>
      </c>
      <c r="S286" s="26">
        <v>1669.87</v>
      </c>
      <c r="U286" s="26">
        <v>0</v>
      </c>
      <c r="V286" s="244">
        <v>0</v>
      </c>
      <c r="W286" s="16">
        <f>U286+V286</f>
        <v>0</v>
      </c>
      <c r="X286" s="122" t="str">
        <f>IF(U286=0," ",(W286-U286)/U286)</f>
        <v xml:space="preserve"> </v>
      </c>
      <c r="Z286" s="117">
        <v>0</v>
      </c>
      <c r="AA286" s="117"/>
      <c r="AC286" s="259"/>
      <c r="AE286" s="26"/>
      <c r="AF286" s="200"/>
      <c r="AH286" s="26"/>
      <c r="AI286" s="244"/>
      <c r="AJ286" s="16">
        <f>AH286+AI286</f>
        <v>0</v>
      </c>
      <c r="AK286" s="122" t="str">
        <f>IF(AH286=0," ",(AJ286-AH286)/AH286)</f>
        <v xml:space="preserve"> </v>
      </c>
      <c r="AM286" s="117">
        <v>0</v>
      </c>
      <c r="AN286" s="117">
        <v>0</v>
      </c>
      <c r="AP286" s="259"/>
      <c r="AR286" s="26">
        <v>0</v>
      </c>
      <c r="AS286" s="26"/>
      <c r="AU286" s="26">
        <f>AR286</f>
        <v>0</v>
      </c>
      <c r="AV286" s="244"/>
      <c r="AW286" s="16">
        <f>AU286+AV286</f>
        <v>0</v>
      </c>
      <c r="AX286" s="122" t="str">
        <f>IF(AU286=0," ",(AW286-AU286)/AU286)</f>
        <v xml:space="preserve"> </v>
      </c>
      <c r="AZ286" s="117"/>
      <c r="BA286" s="117"/>
      <c r="BC286" s="259"/>
      <c r="BE286" s="26"/>
      <c r="BF286" s="26"/>
      <c r="BH286" s="26"/>
      <c r="BI286" s="244"/>
      <c r="BJ286" s="16">
        <f>BH286+BI286</f>
        <v>0</v>
      </c>
      <c r="BK286" s="122" t="str">
        <f>IF(BH286=0," ",(BJ286-BH286)/BH286)</f>
        <v xml:space="preserve"> </v>
      </c>
      <c r="BM286" s="117">
        <v>0</v>
      </c>
      <c r="BN286" s="117">
        <v>0</v>
      </c>
      <c r="BP286" s="259"/>
      <c r="BR286" s="117">
        <v>0</v>
      </c>
      <c r="BS286" s="26"/>
      <c r="BU286" s="26">
        <v>0</v>
      </c>
      <c r="BV286" s="244"/>
      <c r="BW286" s="576">
        <f>BU286+BV286</f>
        <v>0</v>
      </c>
      <c r="BX286" s="577" t="str">
        <f>IF(BU286=0," ",(BW286-BU286)/BU286)</f>
        <v xml:space="preserve"> </v>
      </c>
      <c r="BZ286" s="166">
        <v>0</v>
      </c>
      <c r="CA286" s="166">
        <v>0</v>
      </c>
      <c r="CC286" s="753"/>
      <c r="CE286" s="166">
        <v>0</v>
      </c>
      <c r="CF286" s="166"/>
      <c r="CO286" s="16"/>
    </row>
    <row r="287" spans="1:93" x14ac:dyDescent="0.3">
      <c r="A287" s="12">
        <v>210</v>
      </c>
      <c r="B287" s="1"/>
      <c r="C287" s="341">
        <v>21001</v>
      </c>
      <c r="D287" s="341">
        <v>51122</v>
      </c>
      <c r="E287" s="340" t="s">
        <v>11</v>
      </c>
      <c r="F287" s="1"/>
      <c r="G287" s="1" t="s">
        <v>773</v>
      </c>
      <c r="H287" s="26"/>
      <c r="I287" s="244"/>
      <c r="M287" s="117"/>
      <c r="N287" s="117"/>
      <c r="P287" s="259"/>
      <c r="R287" s="26"/>
      <c r="S287" s="26"/>
      <c r="U287" s="26"/>
      <c r="V287" s="244"/>
      <c r="Z287" s="117"/>
      <c r="AA287" s="117"/>
      <c r="AC287" s="259"/>
      <c r="AE287" s="26"/>
      <c r="AF287" s="200"/>
      <c r="AH287" s="26"/>
      <c r="AI287" s="244"/>
      <c r="AM287" s="117"/>
      <c r="AN287" s="117"/>
      <c r="AP287" s="259"/>
      <c r="AR287" s="26"/>
      <c r="AS287" s="26">
        <v>111069.52</v>
      </c>
      <c r="AU287" s="26">
        <v>102977</v>
      </c>
      <c r="AV287" s="244">
        <v>14323</v>
      </c>
      <c r="AW287" s="336">
        <f>AU287+AV287</f>
        <v>117300</v>
      </c>
      <c r="AX287" s="122">
        <f>IF(AU287=0," ",(AW287-AU287)/AU287)</f>
        <v>0.13908931120541479</v>
      </c>
      <c r="AZ287" s="117">
        <v>117300</v>
      </c>
      <c r="BA287" s="117">
        <v>117300</v>
      </c>
      <c r="BC287" s="283" t="s">
        <v>1006</v>
      </c>
      <c r="BE287" s="26">
        <v>117300</v>
      </c>
      <c r="BF287" s="26">
        <v>117300</v>
      </c>
      <c r="BH287" s="26">
        <v>117300</v>
      </c>
      <c r="BI287" s="244">
        <v>2345</v>
      </c>
      <c r="BJ287" s="16">
        <f>BH287+BI287</f>
        <v>119645</v>
      </c>
      <c r="BK287" s="122">
        <f>IF(BH287=0," ",(BJ287-BH287)/BH287)</f>
        <v>1.999147485080989E-2</v>
      </c>
      <c r="BM287" s="117">
        <v>119645</v>
      </c>
      <c r="BN287" s="117">
        <v>119645</v>
      </c>
      <c r="BP287" s="259" t="s">
        <v>1118</v>
      </c>
      <c r="BR287" s="117">
        <v>119645</v>
      </c>
      <c r="BS287" s="26">
        <v>4584.1000000000004</v>
      </c>
      <c r="BU287" s="26">
        <v>119645</v>
      </c>
      <c r="BV287" s="533">
        <v>-2800</v>
      </c>
      <c r="BW287" s="576">
        <f>BU287+BV287</f>
        <v>116845</v>
      </c>
      <c r="BX287" s="577">
        <f>IF(BU287=0," ",(BW287-BU287)/BU287)</f>
        <v>-2.3402565924192403E-2</v>
      </c>
      <c r="BZ287" s="166">
        <v>116845</v>
      </c>
      <c r="CA287" s="166">
        <v>116845</v>
      </c>
      <c r="CC287" s="765" t="s">
        <v>1586</v>
      </c>
      <c r="CE287" s="166">
        <v>116845</v>
      </c>
      <c r="CF287" s="166"/>
      <c r="CO287" s="16"/>
    </row>
    <row r="288" spans="1:93" x14ac:dyDescent="0.3">
      <c r="A288" s="11">
        <v>210</v>
      </c>
      <c r="B288" s="3" t="s">
        <v>2</v>
      </c>
      <c r="C288" s="341">
        <v>21001</v>
      </c>
      <c r="D288" s="341">
        <v>51490</v>
      </c>
      <c r="E288" s="340" t="s">
        <v>119</v>
      </c>
      <c r="F288" s="3" t="s">
        <v>2</v>
      </c>
      <c r="G288" s="3" t="s">
        <v>322</v>
      </c>
      <c r="H288" s="26">
        <v>0</v>
      </c>
      <c r="I288" s="245">
        <v>650</v>
      </c>
      <c r="J288" s="16">
        <f>H288+I288</f>
        <v>650</v>
      </c>
      <c r="K288" s="122" t="str">
        <f>IF(H288=0," ",(J288-H288)/H288)</f>
        <v xml:space="preserve"> </v>
      </c>
      <c r="M288" s="118">
        <v>650</v>
      </c>
      <c r="N288" s="118">
        <v>650</v>
      </c>
      <c r="P288" s="137"/>
      <c r="R288" s="144">
        <v>650</v>
      </c>
      <c r="S288" s="144">
        <v>650</v>
      </c>
      <c r="U288" s="144">
        <v>650</v>
      </c>
      <c r="V288" s="245">
        <v>0</v>
      </c>
      <c r="W288" s="16">
        <f>U288+V288</f>
        <v>650</v>
      </c>
      <c r="X288" s="122">
        <f>IF(U288=0," ",(W288-U288)/U288)</f>
        <v>0</v>
      </c>
      <c r="Z288" s="118">
        <v>650</v>
      </c>
      <c r="AA288" s="118">
        <v>650</v>
      </c>
      <c r="AC288" s="137" t="s">
        <v>724</v>
      </c>
      <c r="AE288" s="144">
        <v>650</v>
      </c>
      <c r="AF288" s="271">
        <v>650</v>
      </c>
      <c r="AH288" s="144">
        <v>650</v>
      </c>
      <c r="AI288" s="245"/>
      <c r="AJ288" s="16">
        <f>AH288+AI288</f>
        <v>650</v>
      </c>
      <c r="AK288" s="122">
        <f>IF(AH288=0," ",(AJ288-AH288)/AH288)</f>
        <v>0</v>
      </c>
      <c r="AM288" s="117">
        <v>650</v>
      </c>
      <c r="AN288" s="117">
        <v>650</v>
      </c>
      <c r="AP288" s="137"/>
      <c r="AR288" s="26">
        <v>650</v>
      </c>
      <c r="AS288" s="26">
        <v>650</v>
      </c>
      <c r="AU288" s="26">
        <f>AR288</f>
        <v>650</v>
      </c>
      <c r="AV288" s="245">
        <v>1100</v>
      </c>
      <c r="AW288" s="336">
        <f>AU288+AV288</f>
        <v>1750</v>
      </c>
      <c r="AX288" s="122">
        <f>IF(AU288=0," ",(AW288-AU288)/AU288)</f>
        <v>1.6923076923076923</v>
      </c>
      <c r="AZ288" s="117">
        <v>1750</v>
      </c>
      <c r="BA288" s="117">
        <v>1750</v>
      </c>
      <c r="BC288" s="137" t="s">
        <v>1005</v>
      </c>
      <c r="BE288" s="26">
        <v>1750</v>
      </c>
      <c r="BF288" s="26"/>
      <c r="BH288" s="26">
        <v>1750</v>
      </c>
      <c r="BI288" s="245"/>
      <c r="BJ288" s="16">
        <f>BH288+BI288</f>
        <v>1750</v>
      </c>
      <c r="BK288" s="122">
        <f>IF(BH288=0," ",(BJ288-BH288)/BH288)</f>
        <v>0</v>
      </c>
      <c r="BM288" s="117">
        <v>1750</v>
      </c>
      <c r="BN288" s="117">
        <v>1750</v>
      </c>
      <c r="BP288" s="137"/>
      <c r="BR288" s="117">
        <v>1750</v>
      </c>
      <c r="BS288" s="144">
        <v>1750</v>
      </c>
      <c r="BU288" s="26">
        <v>1750</v>
      </c>
      <c r="BV288" s="800">
        <v>-1750</v>
      </c>
      <c r="BW288" s="576">
        <f>BU288+BV288</f>
        <v>0</v>
      </c>
      <c r="BX288" s="577">
        <f>IF(BU288=0," ",(BW288-BU288)/BU288)</f>
        <v>-1</v>
      </c>
      <c r="BZ288" s="166">
        <v>0</v>
      </c>
      <c r="CA288" s="166">
        <v>0</v>
      </c>
      <c r="CC288" s="766" t="s">
        <v>1405</v>
      </c>
      <c r="CE288" s="166">
        <v>0</v>
      </c>
      <c r="CF288" s="166"/>
      <c r="CO288" s="16"/>
    </row>
    <row r="289" spans="1:93" x14ac:dyDescent="0.3">
      <c r="A289" s="12"/>
      <c r="C289" s="341"/>
      <c r="D289" s="341"/>
      <c r="E289" s="340"/>
      <c r="H289" s="145">
        <f>SUM(H285:H288)</f>
        <v>115315</v>
      </c>
      <c r="I289" s="32">
        <f>SUM(I285:I288)</f>
        <v>650</v>
      </c>
      <c r="J289" s="32">
        <f>SUM(J285:J288)</f>
        <v>115965</v>
      </c>
      <c r="K289" s="128">
        <f>IF(H289=0," ",(J289-H289)/H289)</f>
        <v>5.636734162944977E-3</v>
      </c>
      <c r="M289" s="32">
        <f>SUM(M285:M288)</f>
        <v>115965</v>
      </c>
      <c r="N289" s="32">
        <f>SUM(N285:N288)</f>
        <v>115965</v>
      </c>
      <c r="P289" s="141">
        <f>SUM(P285:P288)</f>
        <v>0</v>
      </c>
      <c r="R289" s="145">
        <f>SUM(R285:R288)</f>
        <v>115965</v>
      </c>
      <c r="S289" s="32">
        <f>SUM(S285:S288)</f>
        <v>127320.06999999999</v>
      </c>
      <c r="U289" s="32">
        <f>SUM(U285:U288)</f>
        <v>115965</v>
      </c>
      <c r="V289" s="32">
        <f>SUM(V285:V288)</f>
        <v>12185</v>
      </c>
      <c r="W289" s="32">
        <f>SUM(W285:W288)</f>
        <v>128150</v>
      </c>
      <c r="X289" s="128">
        <f>IF(U289=0," ",(W289-U289)/U289)</f>
        <v>0.10507480705385246</v>
      </c>
      <c r="Z289" s="32">
        <f>SUM(Z285:Z288)</f>
        <v>128150</v>
      </c>
      <c r="AA289" s="32">
        <f>SUM(AA285:AA288)</f>
        <v>128150</v>
      </c>
      <c r="AC289" s="141"/>
      <c r="AE289" s="32">
        <f>SUM(AE285:AE288)</f>
        <v>128150</v>
      </c>
      <c r="AF289" s="274">
        <f>SUM(AF285:AF288)</f>
        <v>128150</v>
      </c>
      <c r="AH289" s="32">
        <f>SUM(AH285:AH288)</f>
        <v>128150</v>
      </c>
      <c r="AI289" s="32">
        <f>SUM(AI285:AI288)</f>
        <v>2550</v>
      </c>
      <c r="AJ289" s="32">
        <f>SUM(AJ285:AJ288)</f>
        <v>130700</v>
      </c>
      <c r="AK289" s="128">
        <f>IF(AH289=0," ",(AJ289-AH289)/AH289)</f>
        <v>1.9898556379243076E-2</v>
      </c>
      <c r="AM289" s="32">
        <f>SUM(AM285:AM288)</f>
        <v>130700</v>
      </c>
      <c r="AN289" s="32">
        <f>SUM(AN285:AN288)</f>
        <v>130700</v>
      </c>
      <c r="AP289" s="141"/>
      <c r="AR289" s="145">
        <f>SUM(AR285:AR288)</f>
        <v>130700</v>
      </c>
      <c r="AS289" s="145">
        <f>SUM(AS285:AS288)</f>
        <v>240963.37</v>
      </c>
      <c r="AU289" s="145">
        <f>SUM(AU285:AU288)</f>
        <v>233677</v>
      </c>
      <c r="AV289" s="32">
        <f>SUM(AV285:AV288)</f>
        <v>15423</v>
      </c>
      <c r="AW289" s="32">
        <f>SUM(AW285:AW288)</f>
        <v>249100</v>
      </c>
      <c r="AX289" s="128">
        <f>IF(AU289=0," ",(AW289-AU289)/AU289)</f>
        <v>6.6001360852801089E-2</v>
      </c>
      <c r="AZ289" s="32">
        <f>SUM(AZ285:AZ288)</f>
        <v>249100</v>
      </c>
      <c r="BA289" s="32">
        <f>SUM(BA285:BA288)</f>
        <v>244300</v>
      </c>
      <c r="BC289" s="141"/>
      <c r="BE289" s="145">
        <f>SUM(BE285:BE288)</f>
        <v>244300</v>
      </c>
      <c r="BF289" s="145">
        <f>SUM(BF285:BF288)</f>
        <v>242550</v>
      </c>
      <c r="BH289" s="145">
        <f>SUM(BH285:BH288)</f>
        <v>244300</v>
      </c>
      <c r="BI289" s="32">
        <f>SUM(BI285:BI288)</f>
        <v>4850</v>
      </c>
      <c r="BJ289" s="32">
        <f>SUM(BJ285:BJ288)</f>
        <v>249150</v>
      </c>
      <c r="BK289" s="128">
        <f>IF(BH289=0," ",(BJ289-BH289)/BH289)</f>
        <v>1.9852640196479737E-2</v>
      </c>
      <c r="BM289" s="145">
        <f>SUM(BM285:BM288)</f>
        <v>249150</v>
      </c>
      <c r="BN289" s="145">
        <f>SUM(BN285:BN288)</f>
        <v>249150</v>
      </c>
      <c r="BP289" s="141"/>
      <c r="BR289" s="145">
        <f>SUM(BR285:BR288)</f>
        <v>249150</v>
      </c>
      <c r="BS289" s="145">
        <f>SUM(BS285:BS288)</f>
        <v>63603.5</v>
      </c>
      <c r="BU289" s="145">
        <f>SUM(BU285:BU288)</f>
        <v>249150</v>
      </c>
      <c r="BV289" s="32">
        <f>SUM(BV285:BV288)</f>
        <v>-2000</v>
      </c>
      <c r="BW289" s="595">
        <f>SUM(BW285:BW288)</f>
        <v>247150</v>
      </c>
      <c r="BX289" s="596">
        <f>IF(BU289=0," ",(BW289-BU289)/BU289)</f>
        <v>-8.027292795504716E-3</v>
      </c>
      <c r="BZ289" s="597">
        <f>SUM(BZ285:BZ288)</f>
        <v>247150</v>
      </c>
      <c r="CA289" s="597">
        <f>SUM(CA285:CA288)</f>
        <v>247150</v>
      </c>
      <c r="CC289" s="770"/>
      <c r="CE289" s="597">
        <f>SUM(CE285:CE288)</f>
        <v>247150</v>
      </c>
      <c r="CF289" s="597">
        <f>SUM(CF285:CF288)</f>
        <v>0</v>
      </c>
      <c r="CO289" s="16"/>
    </row>
    <row r="290" spans="1:93" x14ac:dyDescent="0.3">
      <c r="C290" s="341"/>
      <c r="D290" s="341"/>
      <c r="E290" s="340"/>
      <c r="H290" s="26"/>
      <c r="R290" s="26"/>
      <c r="S290" s="26"/>
      <c r="AF290" s="200"/>
      <c r="AR290" s="26"/>
      <c r="AS290" s="26"/>
      <c r="BE290" s="26"/>
      <c r="BF290" s="26"/>
      <c r="BH290" s="26"/>
      <c r="BM290" s="26"/>
      <c r="BN290" s="26"/>
      <c r="BR290" s="26"/>
      <c r="BS290" s="26"/>
      <c r="BU290" s="26"/>
      <c r="BZ290" s="589"/>
      <c r="CA290" s="589"/>
      <c r="CE290" s="589"/>
      <c r="CF290" s="589"/>
      <c r="CO290" s="16"/>
    </row>
    <row r="291" spans="1:93" x14ac:dyDescent="0.3">
      <c r="A291" s="12">
        <v>210</v>
      </c>
      <c r="B291" s="1"/>
      <c r="C291" s="341">
        <v>21002</v>
      </c>
      <c r="D291" s="341">
        <v>51125</v>
      </c>
      <c r="E291" s="340" t="s">
        <v>11</v>
      </c>
      <c r="F291" s="1"/>
      <c r="G291" s="1" t="s">
        <v>773</v>
      </c>
      <c r="H291" s="26"/>
      <c r="R291" s="26"/>
      <c r="S291" s="26">
        <v>0</v>
      </c>
      <c r="AE291" s="26"/>
      <c r="AF291" s="200"/>
      <c r="AH291" s="16">
        <v>0</v>
      </c>
      <c r="AI291" s="244"/>
      <c r="AJ291" s="16">
        <v>102977</v>
      </c>
      <c r="AK291" s="122" t="str">
        <f>IF(AH291=0," ",(AJ291-AH291)/AH291)</f>
        <v xml:space="preserve"> </v>
      </c>
      <c r="AM291" s="117">
        <v>102977</v>
      </c>
      <c r="AN291" s="117">
        <v>102977</v>
      </c>
      <c r="AP291" s="283" t="s">
        <v>873</v>
      </c>
      <c r="AR291" s="26">
        <v>102977</v>
      </c>
      <c r="AS291" s="26"/>
      <c r="AU291" s="26"/>
      <c r="AV291" s="244"/>
      <c r="AX291" s="122" t="str">
        <f>IF(AU291=0," ",(AW291-AU291)/AU291)</f>
        <v xml:space="preserve"> </v>
      </c>
      <c r="AZ291" s="117"/>
      <c r="BA291" s="117"/>
      <c r="BC291" s="283" t="s">
        <v>1004</v>
      </c>
      <c r="BE291" s="26"/>
      <c r="BF291" s="26"/>
      <c r="BH291" s="26"/>
      <c r="BI291" s="244"/>
      <c r="BK291" s="122" t="str">
        <f t="shared" ref="BK291:BK294" si="146">IF(BH291=0," ",(BJ291-BH291)/BH291)</f>
        <v xml:space="preserve"> </v>
      </c>
      <c r="BM291" s="117"/>
      <c r="BN291" s="117"/>
      <c r="BP291" s="257"/>
      <c r="BR291" s="117"/>
      <c r="BS291" s="26"/>
      <c r="BU291" s="26"/>
      <c r="BV291" s="244"/>
      <c r="BX291" s="577" t="str">
        <f t="shared" ref="BX291:BX294" si="147">IF(BU291=0," ",(BW291-BU291)/BU291)</f>
        <v xml:space="preserve"> </v>
      </c>
      <c r="BZ291" s="166"/>
      <c r="CA291" s="166"/>
      <c r="CC291" s="776"/>
      <c r="CE291" s="166"/>
      <c r="CF291" s="166"/>
      <c r="CO291" s="16"/>
    </row>
    <row r="292" spans="1:93" ht="14.4" x14ac:dyDescent="0.3">
      <c r="A292" s="11">
        <v>210</v>
      </c>
      <c r="B292" s="3" t="s">
        <v>2</v>
      </c>
      <c r="C292" s="341">
        <v>21002</v>
      </c>
      <c r="D292" s="341">
        <v>51130</v>
      </c>
      <c r="E292" s="340" t="s">
        <v>11</v>
      </c>
      <c r="F292" s="3" t="s">
        <v>2</v>
      </c>
      <c r="G292" s="3" t="s">
        <v>323</v>
      </c>
      <c r="H292" s="26">
        <v>714426</v>
      </c>
      <c r="I292" s="244">
        <v>-20029</v>
      </c>
      <c r="J292" s="16">
        <f t="shared" ref="J292:J307" si="148">H292+I292</f>
        <v>694397</v>
      </c>
      <c r="K292" s="122">
        <f t="shared" ref="K292:K307" si="149">IF(H292=0," ",(J292-H292)/H292)</f>
        <v>-2.8035093907556555E-2</v>
      </c>
      <c r="M292" s="117">
        <v>694397</v>
      </c>
      <c r="N292" s="185">
        <f>694397+7500</f>
        <v>701897</v>
      </c>
      <c r="P292" s="259" t="s">
        <v>569</v>
      </c>
      <c r="R292" s="30">
        <f>694397+7500</f>
        <v>701897</v>
      </c>
      <c r="S292" s="30">
        <v>690659.76</v>
      </c>
      <c r="U292" s="30">
        <f>694397+7500</f>
        <v>701897</v>
      </c>
      <c r="V292" s="244">
        <v>51711</v>
      </c>
      <c r="W292" s="16">
        <f t="shared" ref="W292:W307" si="150">U292+V292</f>
        <v>753608</v>
      </c>
      <c r="X292" s="122">
        <f t="shared" ref="X292:X307" si="151">IF(U292=0," ",(W292-U292)/U292)</f>
        <v>7.3673202763368417E-2</v>
      </c>
      <c r="Z292" s="117">
        <v>753608</v>
      </c>
      <c r="AA292" s="117">
        <v>753608</v>
      </c>
      <c r="AC292" s="259"/>
      <c r="AE292" s="26">
        <v>753608</v>
      </c>
      <c r="AF292" s="200">
        <v>738967.25</v>
      </c>
      <c r="AH292" s="26">
        <v>753608</v>
      </c>
      <c r="AI292" s="244">
        <v>16737</v>
      </c>
      <c r="AJ292" s="284">
        <v>667366</v>
      </c>
      <c r="AK292" s="122">
        <f t="shared" ref="AK292:AK309" si="152">IF(AH292=0," ",(AJ292-AH292)/AH292)</f>
        <v>-0.11443880638209786</v>
      </c>
      <c r="AM292" s="296">
        <f>667366</f>
        <v>667366</v>
      </c>
      <c r="AN292" s="296">
        <f>667366</f>
        <v>667366</v>
      </c>
      <c r="AP292" s="279" t="s">
        <v>872</v>
      </c>
      <c r="AR292" s="303">
        <f>667366</f>
        <v>667366</v>
      </c>
      <c r="AS292" s="26">
        <v>731440.8</v>
      </c>
      <c r="AU292" s="26">
        <f t="shared" ref="AU292:AU310" si="153">AR292</f>
        <v>667366</v>
      </c>
      <c r="AV292" s="244">
        <v>128034</v>
      </c>
      <c r="AW292" s="336">
        <f t="shared" ref="AW292:AW309" si="154">AU292+AV292</f>
        <v>795400</v>
      </c>
      <c r="AX292" s="122">
        <f t="shared" ref="AX292:AX309" si="155">IF(AU292=0," ",(AW292-AU292)/AU292)</f>
        <v>0.19184974961265633</v>
      </c>
      <c r="AZ292" s="117">
        <v>795400</v>
      </c>
      <c r="BA292" s="117">
        <v>795400</v>
      </c>
      <c r="BC292" s="282" t="s">
        <v>1030</v>
      </c>
      <c r="BE292" s="26">
        <v>795400</v>
      </c>
      <c r="BF292" s="26">
        <v>582729.56999999995</v>
      </c>
      <c r="BH292" s="26">
        <v>795400</v>
      </c>
      <c r="BI292" s="244">
        <v>5477</v>
      </c>
      <c r="BJ292" s="16">
        <f t="shared" ref="BJ292:BJ309" si="156">BH292+BI292</f>
        <v>800877</v>
      </c>
      <c r="BK292" s="122">
        <f t="shared" si="146"/>
        <v>6.8858436007040481E-3</v>
      </c>
      <c r="BM292" s="117">
        <v>800877</v>
      </c>
      <c r="BN292" s="117">
        <v>800877</v>
      </c>
      <c r="BP292" s="259" t="s">
        <v>1129</v>
      </c>
      <c r="BR292" s="117">
        <v>800877</v>
      </c>
      <c r="BS292" s="26">
        <v>309349.36</v>
      </c>
      <c r="BU292" s="26">
        <v>800877</v>
      </c>
      <c r="BV292" s="533">
        <v>-20795</v>
      </c>
      <c r="BW292" s="576">
        <f t="shared" ref="BW292:BW309" si="157">BU292+BV292</f>
        <v>780082</v>
      </c>
      <c r="BX292" s="577">
        <f t="shared" si="147"/>
        <v>-2.5965285555709552E-2</v>
      </c>
      <c r="BZ292" s="166">
        <v>780082</v>
      </c>
      <c r="CA292" s="166">
        <v>780082</v>
      </c>
      <c r="CC292" s="776" t="s">
        <v>1428</v>
      </c>
      <c r="CE292" s="166">
        <v>780082</v>
      </c>
      <c r="CF292" s="166"/>
      <c r="CO292" s="16"/>
    </row>
    <row r="293" spans="1:93" x14ac:dyDescent="0.3">
      <c r="A293" s="11">
        <v>210</v>
      </c>
      <c r="B293" s="3" t="s">
        <v>2</v>
      </c>
      <c r="C293" s="341">
        <v>21002</v>
      </c>
      <c r="D293" s="341">
        <v>51135</v>
      </c>
      <c r="E293" s="340" t="s">
        <v>11</v>
      </c>
      <c r="F293" s="3" t="s">
        <v>2</v>
      </c>
      <c r="G293" s="3" t="s">
        <v>324</v>
      </c>
      <c r="H293" s="26">
        <v>47476</v>
      </c>
      <c r="I293" s="244">
        <v>3929</v>
      </c>
      <c r="J293" s="16">
        <f t="shared" si="148"/>
        <v>51405</v>
      </c>
      <c r="K293" s="122">
        <f t="shared" si="149"/>
        <v>8.2757603841941196E-2</v>
      </c>
      <c r="M293" s="117">
        <v>51406</v>
      </c>
      <c r="N293" s="117">
        <v>51406</v>
      </c>
      <c r="P293" s="259" t="s">
        <v>541</v>
      </c>
      <c r="R293" s="26">
        <v>51406</v>
      </c>
      <c r="S293" s="26">
        <v>51624.800000000003</v>
      </c>
      <c r="U293" s="26">
        <v>51406</v>
      </c>
      <c r="V293" s="244">
        <v>2452</v>
      </c>
      <c r="W293" s="16">
        <f t="shared" si="150"/>
        <v>53858</v>
      </c>
      <c r="X293" s="122">
        <f t="shared" si="151"/>
        <v>4.7698712212582192E-2</v>
      </c>
      <c r="Z293" s="117">
        <v>53858</v>
      </c>
      <c r="AA293" s="117">
        <v>53858</v>
      </c>
      <c r="AC293" s="259" t="s">
        <v>660</v>
      </c>
      <c r="AE293" s="26">
        <v>53858</v>
      </c>
      <c r="AF293" s="200">
        <v>55281.56</v>
      </c>
      <c r="AH293" s="26">
        <v>53858</v>
      </c>
      <c r="AI293" s="244">
        <v>3104</v>
      </c>
      <c r="AJ293" s="16">
        <f t="shared" ref="AJ293:AJ309" si="158">AH293+AI293</f>
        <v>56962</v>
      </c>
      <c r="AK293" s="122">
        <f t="shared" si="152"/>
        <v>5.7633035018010322E-2</v>
      </c>
      <c r="AM293" s="117">
        <v>56962</v>
      </c>
      <c r="AN293" s="117">
        <v>56962</v>
      </c>
      <c r="AP293" s="259" t="s">
        <v>845</v>
      </c>
      <c r="AR293" s="26">
        <v>56962</v>
      </c>
      <c r="AS293" s="26">
        <v>59317.99</v>
      </c>
      <c r="AU293" s="26">
        <f t="shared" si="153"/>
        <v>56962</v>
      </c>
      <c r="AV293" s="244">
        <v>2446</v>
      </c>
      <c r="AW293" s="336">
        <f t="shared" si="154"/>
        <v>59408</v>
      </c>
      <c r="AX293" s="122">
        <f t="shared" si="155"/>
        <v>4.2940907973736876E-2</v>
      </c>
      <c r="AZ293" s="117">
        <v>59183</v>
      </c>
      <c r="BA293" s="117">
        <v>58243</v>
      </c>
      <c r="BC293" s="266" t="s">
        <v>1073</v>
      </c>
      <c r="BE293" s="26">
        <v>58243</v>
      </c>
      <c r="BF293" s="26">
        <v>58242.400000000001</v>
      </c>
      <c r="BH293" s="26">
        <v>58243</v>
      </c>
      <c r="BI293" s="244">
        <v>1197</v>
      </c>
      <c r="BJ293" s="16">
        <f t="shared" si="156"/>
        <v>59440</v>
      </c>
      <c r="BK293" s="122">
        <f t="shared" si="146"/>
        <v>2.0551825970502893E-2</v>
      </c>
      <c r="BM293" s="117">
        <v>59440</v>
      </c>
      <c r="BN293" s="117">
        <f>59440+6668</f>
        <v>66108</v>
      </c>
      <c r="BP293" s="411" t="s">
        <v>1300</v>
      </c>
      <c r="BR293" s="117">
        <f>59440+6668</f>
        <v>66108</v>
      </c>
      <c r="BS293" s="26">
        <v>29577.599999999999</v>
      </c>
      <c r="BU293" s="26">
        <f>59440+6668</f>
        <v>66108</v>
      </c>
      <c r="BV293" s="533">
        <v>1189</v>
      </c>
      <c r="BW293" s="576">
        <f t="shared" si="157"/>
        <v>67297</v>
      </c>
      <c r="BX293" s="577">
        <f t="shared" si="147"/>
        <v>1.7985720336419191E-2</v>
      </c>
      <c r="BZ293" s="166">
        <v>67297</v>
      </c>
      <c r="CA293" s="166">
        <v>67297</v>
      </c>
      <c r="CC293" s="765" t="s">
        <v>1324</v>
      </c>
      <c r="CE293" s="166">
        <v>67297</v>
      </c>
      <c r="CF293" s="166"/>
      <c r="CO293" s="16"/>
    </row>
    <row r="294" spans="1:93" x14ac:dyDescent="0.3">
      <c r="A294" s="11">
        <v>210</v>
      </c>
      <c r="B294" s="3" t="s">
        <v>2</v>
      </c>
      <c r="C294" s="341">
        <v>21002</v>
      </c>
      <c r="D294" s="341">
        <v>51140</v>
      </c>
      <c r="E294" s="340" t="s">
        <v>11</v>
      </c>
      <c r="F294" s="3" t="s">
        <v>2</v>
      </c>
      <c r="G294" s="3" t="s">
        <v>325</v>
      </c>
      <c r="H294" s="26">
        <v>14401</v>
      </c>
      <c r="I294" s="244">
        <f>632-3758</f>
        <v>-3126</v>
      </c>
      <c r="J294" s="16">
        <f t="shared" si="148"/>
        <v>11275</v>
      </c>
      <c r="K294" s="122">
        <f t="shared" si="149"/>
        <v>-0.21706825914867023</v>
      </c>
      <c r="M294" s="117">
        <v>11275</v>
      </c>
      <c r="N294" s="185">
        <f>11275+3758</f>
        <v>15033</v>
      </c>
      <c r="P294" s="259" t="s">
        <v>542</v>
      </c>
      <c r="R294" s="30">
        <f>11275+3758</f>
        <v>15033</v>
      </c>
      <c r="S294" s="30">
        <v>12309.38</v>
      </c>
      <c r="U294" s="30">
        <f>11275+3758</f>
        <v>15033</v>
      </c>
      <c r="V294" s="244">
        <v>-1445</v>
      </c>
      <c r="W294" s="16">
        <f t="shared" si="150"/>
        <v>13588</v>
      </c>
      <c r="X294" s="122">
        <f t="shared" si="151"/>
        <v>-9.6121865229827713E-2</v>
      </c>
      <c r="Z294" s="117">
        <v>13588</v>
      </c>
      <c r="AA294" s="117">
        <v>13588</v>
      </c>
      <c r="AC294" s="205" t="s">
        <v>661</v>
      </c>
      <c r="AE294" s="26">
        <v>13588</v>
      </c>
      <c r="AF294" s="200">
        <v>14367.66</v>
      </c>
      <c r="AH294" s="26">
        <v>13588</v>
      </c>
      <c r="AI294" s="244">
        <v>794</v>
      </c>
      <c r="AJ294" s="16">
        <f t="shared" si="158"/>
        <v>14382</v>
      </c>
      <c r="AK294" s="122">
        <f t="shared" si="152"/>
        <v>5.8433912275537236E-2</v>
      </c>
      <c r="AM294" s="117">
        <v>14382</v>
      </c>
      <c r="AN294" s="117">
        <v>14382</v>
      </c>
      <c r="AP294" s="259" t="s">
        <v>844</v>
      </c>
      <c r="AR294" s="26">
        <v>14382</v>
      </c>
      <c r="AS294" s="26">
        <v>12122</v>
      </c>
      <c r="AU294" s="26">
        <f t="shared" si="153"/>
        <v>14382</v>
      </c>
      <c r="AV294" s="244">
        <v>634</v>
      </c>
      <c r="AW294" s="336">
        <f t="shared" si="154"/>
        <v>15016</v>
      </c>
      <c r="AX294" s="122">
        <f t="shared" si="155"/>
        <v>4.4082881379502156E-2</v>
      </c>
      <c r="AZ294" s="117">
        <v>14958</v>
      </c>
      <c r="BA294" s="117">
        <v>14723</v>
      </c>
      <c r="BC294" s="326" t="s">
        <v>1074</v>
      </c>
      <c r="BE294" s="26">
        <v>14723</v>
      </c>
      <c r="BF294" s="26"/>
      <c r="BH294" s="26">
        <v>14723</v>
      </c>
      <c r="BI294" s="244">
        <v>-14723</v>
      </c>
      <c r="BJ294" s="16">
        <f t="shared" si="156"/>
        <v>0</v>
      </c>
      <c r="BK294" s="122">
        <f t="shared" si="146"/>
        <v>-1</v>
      </c>
      <c r="BM294" s="117">
        <v>0</v>
      </c>
      <c r="BN294" s="117">
        <v>0</v>
      </c>
      <c r="BP294" s="205"/>
      <c r="BR294" s="117">
        <v>0</v>
      </c>
      <c r="BS294" s="26"/>
      <c r="BU294" s="26">
        <v>0</v>
      </c>
      <c r="BV294" s="244"/>
      <c r="BW294" s="576">
        <f t="shared" si="157"/>
        <v>0</v>
      </c>
      <c r="BX294" s="577" t="str">
        <f t="shared" si="147"/>
        <v xml:space="preserve"> </v>
      </c>
      <c r="BZ294" s="166">
        <v>0</v>
      </c>
      <c r="CA294" s="166">
        <v>0</v>
      </c>
      <c r="CC294" s="776"/>
      <c r="CE294" s="166">
        <v>0</v>
      </c>
      <c r="CF294" s="166"/>
      <c r="CO294" s="16"/>
    </row>
    <row r="295" spans="1:93" ht="12.75" customHeight="1" x14ac:dyDescent="0.3">
      <c r="A295" s="11">
        <v>210</v>
      </c>
      <c r="B295" s="3" t="s">
        <v>2</v>
      </c>
      <c r="C295" s="341">
        <v>21002</v>
      </c>
      <c r="D295" s="341">
        <v>51150</v>
      </c>
      <c r="E295" s="340" t="s">
        <v>11</v>
      </c>
      <c r="F295" s="3" t="s">
        <v>2</v>
      </c>
      <c r="G295" s="3" t="s">
        <v>326</v>
      </c>
      <c r="H295" s="26">
        <v>98682</v>
      </c>
      <c r="I295" s="244">
        <v>1974</v>
      </c>
      <c r="J295" s="16">
        <f t="shared" si="148"/>
        <v>100656</v>
      </c>
      <c r="K295" s="122">
        <f t="shared" si="149"/>
        <v>2.0003648081717031E-2</v>
      </c>
      <c r="M295" s="117">
        <v>100656</v>
      </c>
      <c r="N295" s="117">
        <v>100656</v>
      </c>
      <c r="P295" s="259" t="s">
        <v>570</v>
      </c>
      <c r="R295" s="26">
        <v>100656</v>
      </c>
      <c r="S295" s="26">
        <v>61764.02</v>
      </c>
      <c r="U295" s="26">
        <v>100656</v>
      </c>
      <c r="V295" s="244">
        <v>-29978</v>
      </c>
      <c r="W295" s="16">
        <f t="shared" si="150"/>
        <v>70678</v>
      </c>
      <c r="X295" s="122">
        <f t="shared" si="151"/>
        <v>-0.29782625973613097</v>
      </c>
      <c r="Z295" s="117">
        <v>70678</v>
      </c>
      <c r="AA295" s="117">
        <v>70678</v>
      </c>
      <c r="AC295" s="259"/>
      <c r="AE295" s="26">
        <v>70678</v>
      </c>
      <c r="AF295" s="200">
        <v>84867.87</v>
      </c>
      <c r="AH295" s="26">
        <v>70678</v>
      </c>
      <c r="AI295" s="244">
        <v>1075</v>
      </c>
      <c r="AJ295" s="16">
        <f t="shared" si="158"/>
        <v>71753</v>
      </c>
      <c r="AK295" s="122">
        <f t="shared" si="152"/>
        <v>1.5209824839412547E-2</v>
      </c>
      <c r="AM295" s="117">
        <v>71753</v>
      </c>
      <c r="AN295" s="117">
        <v>71753</v>
      </c>
      <c r="AP295" s="279" t="s">
        <v>874</v>
      </c>
      <c r="AR295" s="26">
        <v>71753</v>
      </c>
      <c r="AS295" s="26">
        <v>39803.5</v>
      </c>
      <c r="AU295" s="26">
        <f t="shared" si="153"/>
        <v>71753</v>
      </c>
      <c r="AV295" s="244">
        <v>-19287</v>
      </c>
      <c r="AW295" s="16">
        <f t="shared" si="154"/>
        <v>52466</v>
      </c>
      <c r="AX295" s="122">
        <f t="shared" si="155"/>
        <v>-0.26879712346522094</v>
      </c>
      <c r="AZ295" s="117">
        <v>52466</v>
      </c>
      <c r="BA295" s="117">
        <v>52466</v>
      </c>
      <c r="BC295" s="327" t="s">
        <v>1033</v>
      </c>
      <c r="BE295" s="26">
        <v>52466</v>
      </c>
      <c r="BF295" s="26">
        <v>107698.24000000001</v>
      </c>
      <c r="BH295" s="26">
        <v>52466</v>
      </c>
      <c r="BI295" s="244">
        <v>14658</v>
      </c>
      <c r="BJ295" s="16">
        <f t="shared" si="156"/>
        <v>67124</v>
      </c>
      <c r="BK295" s="122">
        <f>IF(BH295=0," ",(BJ295-BH295)/BH295)</f>
        <v>0.27938093241337247</v>
      </c>
      <c r="BM295" s="117">
        <v>67124</v>
      </c>
      <c r="BN295" s="117">
        <v>67124</v>
      </c>
      <c r="BP295" s="934" t="s">
        <v>1138</v>
      </c>
      <c r="BR295" s="117">
        <v>67124</v>
      </c>
      <c r="BS295" s="26">
        <v>31563.29</v>
      </c>
      <c r="BU295" s="26">
        <v>67124</v>
      </c>
      <c r="BV295" s="403">
        <v>-27518</v>
      </c>
      <c r="BW295" s="576">
        <f t="shared" si="157"/>
        <v>39606</v>
      </c>
      <c r="BX295" s="577">
        <f>IF(BU295=0," ",(BW295-BU295)/BU295)</f>
        <v>-0.40995769024491985</v>
      </c>
      <c r="BZ295" s="166">
        <v>39606</v>
      </c>
      <c r="CA295" s="166">
        <v>39606</v>
      </c>
      <c r="CC295" s="776" t="s">
        <v>1563</v>
      </c>
      <c r="CE295" s="166">
        <v>39606</v>
      </c>
      <c r="CF295" s="166"/>
      <c r="CO295" s="16"/>
    </row>
    <row r="296" spans="1:93" x14ac:dyDescent="0.3">
      <c r="A296" s="11">
        <v>210</v>
      </c>
      <c r="B296" s="3" t="s">
        <v>2</v>
      </c>
      <c r="C296" s="341">
        <v>21002</v>
      </c>
      <c r="D296" s="341">
        <v>51152</v>
      </c>
      <c r="E296" s="340" t="s">
        <v>11</v>
      </c>
      <c r="F296" s="3" t="s">
        <v>2</v>
      </c>
      <c r="G296" s="3" t="s">
        <v>327</v>
      </c>
      <c r="H296" s="26">
        <v>0</v>
      </c>
      <c r="I296" s="244"/>
      <c r="J296" s="16">
        <f t="shared" si="148"/>
        <v>0</v>
      </c>
      <c r="K296" s="122" t="str">
        <f t="shared" si="149"/>
        <v xml:space="preserve"> </v>
      </c>
      <c r="M296" s="117">
        <v>0</v>
      </c>
      <c r="N296" s="117">
        <v>0</v>
      </c>
      <c r="P296" s="259"/>
      <c r="R296" s="26">
        <v>0</v>
      </c>
      <c r="S296" s="26">
        <v>175.44</v>
      </c>
      <c r="U296" s="26">
        <v>0</v>
      </c>
      <c r="V296" s="244">
        <v>0</v>
      </c>
      <c r="W296" s="16">
        <f t="shared" si="150"/>
        <v>0</v>
      </c>
      <c r="X296" s="122" t="str">
        <f t="shared" si="151"/>
        <v xml:space="preserve"> </v>
      </c>
      <c r="Z296" s="117">
        <v>0</v>
      </c>
      <c r="AA296" s="117">
        <v>0</v>
      </c>
      <c r="AC296" s="259"/>
      <c r="AE296" s="26">
        <v>0</v>
      </c>
      <c r="AF296" s="200">
        <v>720.84</v>
      </c>
      <c r="AH296" s="26">
        <v>0</v>
      </c>
      <c r="AI296" s="244"/>
      <c r="AJ296" s="16">
        <f t="shared" si="158"/>
        <v>0</v>
      </c>
      <c r="AK296" s="122" t="str">
        <f t="shared" si="152"/>
        <v xml:space="preserve"> </v>
      </c>
      <c r="AM296" s="117">
        <v>0</v>
      </c>
      <c r="AN296" s="117">
        <v>0</v>
      </c>
      <c r="AP296" s="259"/>
      <c r="AR296" s="26">
        <v>0</v>
      </c>
      <c r="AS296" s="26">
        <v>87.72</v>
      </c>
      <c r="AU296" s="26">
        <f t="shared" si="153"/>
        <v>0</v>
      </c>
      <c r="AV296" s="244"/>
      <c r="AW296" s="16">
        <f t="shared" si="154"/>
        <v>0</v>
      </c>
      <c r="AX296" s="122" t="str">
        <f t="shared" si="155"/>
        <v xml:space="preserve"> </v>
      </c>
      <c r="AZ296" s="117"/>
      <c r="BA296" s="117"/>
      <c r="BC296" s="259"/>
      <c r="BE296" s="26"/>
      <c r="BF296" s="26">
        <v>175.44</v>
      </c>
      <c r="BH296" s="26"/>
      <c r="BI296" s="244"/>
      <c r="BJ296" s="16">
        <f t="shared" si="156"/>
        <v>0</v>
      </c>
      <c r="BK296" s="122" t="str">
        <f>IF(BH296=0," ",(BJ296-BH296)/BH296)</f>
        <v xml:space="preserve"> </v>
      </c>
      <c r="BM296" s="117">
        <v>0</v>
      </c>
      <c r="BN296" s="117">
        <v>0</v>
      </c>
      <c r="BP296" s="935"/>
      <c r="BR296" s="117">
        <v>0</v>
      </c>
      <c r="BS296" s="26"/>
      <c r="BU296" s="26">
        <v>0</v>
      </c>
      <c r="BV296" s="244"/>
      <c r="BW296" s="576">
        <f t="shared" si="157"/>
        <v>0</v>
      </c>
      <c r="BX296" s="577" t="str">
        <f>IF(BU296=0," ",(BW296-BU296)/BU296)</f>
        <v xml:space="preserve"> </v>
      </c>
      <c r="BZ296" s="166">
        <v>0</v>
      </c>
      <c r="CA296" s="166">
        <v>0</v>
      </c>
      <c r="CC296" s="776"/>
      <c r="CE296" s="166">
        <v>0</v>
      </c>
      <c r="CF296" s="166"/>
      <c r="CO296" s="16"/>
    </row>
    <row r="297" spans="1:93" x14ac:dyDescent="0.3">
      <c r="A297" s="11">
        <v>210</v>
      </c>
      <c r="B297" s="3" t="s">
        <v>2</v>
      </c>
      <c r="C297" s="341">
        <v>21002</v>
      </c>
      <c r="D297" s="341">
        <v>51160</v>
      </c>
      <c r="E297" s="340" t="s">
        <v>11</v>
      </c>
      <c r="F297" s="3" t="s">
        <v>2</v>
      </c>
      <c r="G297" s="3" t="s">
        <v>1153</v>
      </c>
      <c r="H297" s="26">
        <v>5789</v>
      </c>
      <c r="I297" s="244"/>
      <c r="J297" s="16">
        <f t="shared" si="148"/>
        <v>5789</v>
      </c>
      <c r="K297" s="122">
        <f t="shared" si="149"/>
        <v>0</v>
      </c>
      <c r="M297" s="117">
        <v>5789</v>
      </c>
      <c r="N297" s="117">
        <v>5789</v>
      </c>
      <c r="P297" s="259"/>
      <c r="R297" s="26">
        <v>5789</v>
      </c>
      <c r="S297" s="26">
        <v>2630.84</v>
      </c>
      <c r="U297" s="26">
        <v>5789</v>
      </c>
      <c r="V297" s="244">
        <v>116</v>
      </c>
      <c r="W297" s="16">
        <f t="shared" si="150"/>
        <v>5905</v>
      </c>
      <c r="X297" s="122">
        <f t="shared" si="151"/>
        <v>2.0038003109345309E-2</v>
      </c>
      <c r="Z297" s="117">
        <v>5905</v>
      </c>
      <c r="AA297" s="117">
        <v>5905</v>
      </c>
      <c r="AC297" s="259"/>
      <c r="AE297" s="26">
        <v>5905</v>
      </c>
      <c r="AF297" s="200">
        <v>2853.76</v>
      </c>
      <c r="AH297" s="26">
        <v>5905</v>
      </c>
      <c r="AI297" s="244">
        <v>215</v>
      </c>
      <c r="AJ297" s="16">
        <f t="shared" si="158"/>
        <v>6120</v>
      </c>
      <c r="AK297" s="122">
        <f t="shared" si="152"/>
        <v>3.6409822184589331E-2</v>
      </c>
      <c r="AM297" s="117">
        <v>6120</v>
      </c>
      <c r="AN297" s="117">
        <v>6120</v>
      </c>
      <c r="AP297" s="259" t="s">
        <v>855</v>
      </c>
      <c r="AR297" s="26">
        <v>6120</v>
      </c>
      <c r="AS297" s="26">
        <v>2880.85</v>
      </c>
      <c r="AU297" s="26">
        <f t="shared" si="153"/>
        <v>6120</v>
      </c>
      <c r="AV297" s="244"/>
      <c r="AW297" s="16">
        <f t="shared" si="154"/>
        <v>6120</v>
      </c>
      <c r="AX297" s="122">
        <f t="shared" si="155"/>
        <v>0</v>
      </c>
      <c r="AZ297" s="117">
        <v>6120</v>
      </c>
      <c r="BA297" s="117">
        <v>6120</v>
      </c>
      <c r="BC297" s="259"/>
      <c r="BE297" s="26">
        <v>6120</v>
      </c>
      <c r="BF297" s="26">
        <v>1067.2</v>
      </c>
      <c r="BH297" s="26">
        <v>6120</v>
      </c>
      <c r="BI297" s="244">
        <v>5399</v>
      </c>
      <c r="BJ297" s="16">
        <f t="shared" si="156"/>
        <v>11519</v>
      </c>
      <c r="BK297" s="122">
        <f>IF(BH297=0," ",(BJ297-BH297)/BH297)</f>
        <v>0.88218954248366011</v>
      </c>
      <c r="BM297" s="117">
        <v>11519</v>
      </c>
      <c r="BN297" s="117">
        <f>11519-5000</f>
        <v>6519</v>
      </c>
      <c r="BP297" s="935"/>
      <c r="BR297" s="117">
        <f>11519-5000</f>
        <v>6519</v>
      </c>
      <c r="BS297" s="26">
        <v>450.48</v>
      </c>
      <c r="BU297" s="26">
        <f>11519-5000</f>
        <v>6519</v>
      </c>
      <c r="BV297" s="533">
        <v>-4603</v>
      </c>
      <c r="BW297" s="576">
        <f t="shared" si="157"/>
        <v>1916</v>
      </c>
      <c r="BX297" s="577">
        <f>IF(BU297=0," ",(BW297-BU297)/BU297)</f>
        <v>-0.70608989108759013</v>
      </c>
      <c r="BZ297" s="166">
        <v>1916</v>
      </c>
      <c r="CA297" s="166">
        <v>1916</v>
      </c>
      <c r="CC297" s="801" t="s">
        <v>1429</v>
      </c>
      <c r="CE297" s="166">
        <v>1916</v>
      </c>
      <c r="CF297" s="166"/>
      <c r="CO297" s="16"/>
    </row>
    <row r="298" spans="1:93" x14ac:dyDescent="0.3">
      <c r="A298" s="11">
        <v>210</v>
      </c>
      <c r="B298" s="3" t="s">
        <v>2</v>
      </c>
      <c r="C298" s="341">
        <v>21002</v>
      </c>
      <c r="D298" s="341">
        <v>51310</v>
      </c>
      <c r="E298" s="340" t="s">
        <v>11</v>
      </c>
      <c r="F298" s="3" t="s">
        <v>2</v>
      </c>
      <c r="G298" s="3" t="s">
        <v>328</v>
      </c>
      <c r="H298" s="26">
        <v>175555</v>
      </c>
      <c r="I298" s="244"/>
      <c r="J298" s="16">
        <f t="shared" si="148"/>
        <v>175555</v>
      </c>
      <c r="K298" s="122">
        <f t="shared" si="149"/>
        <v>0</v>
      </c>
      <c r="M298" s="117">
        <v>175555</v>
      </c>
      <c r="N298" s="117">
        <v>175555</v>
      </c>
      <c r="P298" s="259"/>
      <c r="R298" s="26">
        <v>175555</v>
      </c>
      <c r="S298" s="26">
        <v>259927.53</v>
      </c>
      <c r="U298" s="26">
        <v>175555</v>
      </c>
      <c r="V298" s="244">
        <v>46111</v>
      </c>
      <c r="W298" s="16">
        <f t="shared" si="150"/>
        <v>221666</v>
      </c>
      <c r="X298" s="122">
        <f t="shared" si="151"/>
        <v>0.26265842613425994</v>
      </c>
      <c r="Z298" s="117">
        <v>221666</v>
      </c>
      <c r="AA298" s="117">
        <v>221666</v>
      </c>
      <c r="AC298" s="259"/>
      <c r="AE298" s="26">
        <v>221666</v>
      </c>
      <c r="AF298" s="200">
        <v>236201.68</v>
      </c>
      <c r="AH298" s="26">
        <v>221666</v>
      </c>
      <c r="AI298" s="244">
        <v>-13208</v>
      </c>
      <c r="AJ298" s="16">
        <f t="shared" si="158"/>
        <v>208458</v>
      </c>
      <c r="AK298" s="122">
        <f t="shared" si="152"/>
        <v>-5.9585141609448451E-2</v>
      </c>
      <c r="AM298" s="117">
        <f>208458-40000</f>
        <v>168458</v>
      </c>
      <c r="AN298" s="117">
        <f>208458-40000</f>
        <v>168458</v>
      </c>
      <c r="AP298" s="279" t="s">
        <v>875</v>
      </c>
      <c r="AR298" s="26">
        <f>208458-40000</f>
        <v>168458</v>
      </c>
      <c r="AS298" s="26">
        <v>105419.78</v>
      </c>
      <c r="AU298" s="26">
        <f t="shared" si="153"/>
        <v>168458</v>
      </c>
      <c r="AV298" s="244"/>
      <c r="AW298" s="16">
        <f t="shared" si="154"/>
        <v>168458</v>
      </c>
      <c r="AX298" s="122">
        <f t="shared" si="155"/>
        <v>0</v>
      </c>
      <c r="AZ298" s="117">
        <v>140000</v>
      </c>
      <c r="BA298" s="117">
        <v>140000</v>
      </c>
      <c r="BC298" s="279"/>
      <c r="BE298" s="26">
        <v>140000</v>
      </c>
      <c r="BF298" s="26">
        <v>157391.47</v>
      </c>
      <c r="BH298" s="26">
        <v>140000</v>
      </c>
      <c r="BI298" s="244">
        <v>12294</v>
      </c>
      <c r="BJ298" s="16">
        <f t="shared" si="156"/>
        <v>152294</v>
      </c>
      <c r="BK298" s="122">
        <f>IF(BH298=0," ",(BJ298-BH298)/BH298)</f>
        <v>8.781428571428572E-2</v>
      </c>
      <c r="BM298" s="117">
        <v>152294</v>
      </c>
      <c r="BN298" s="117">
        <v>152294</v>
      </c>
      <c r="BP298" s="936"/>
      <c r="BR298" s="117">
        <v>152294</v>
      </c>
      <c r="BS298" s="26">
        <v>83978.240000000005</v>
      </c>
      <c r="BU298" s="26">
        <v>152294</v>
      </c>
      <c r="BV298" s="403">
        <v>19706</v>
      </c>
      <c r="BW298" s="576">
        <f t="shared" si="157"/>
        <v>172000</v>
      </c>
      <c r="BX298" s="577">
        <f>IF(BU298=0," ",(BW298-BU298)/BU298)</f>
        <v>0.12939446071414501</v>
      </c>
      <c r="BZ298" s="166">
        <v>172000</v>
      </c>
      <c r="CA298" s="166">
        <v>172000</v>
      </c>
      <c r="CC298" s="776" t="s">
        <v>1563</v>
      </c>
      <c r="CE298" s="166">
        <v>172000</v>
      </c>
      <c r="CF298" s="166"/>
      <c r="CO298" s="16"/>
    </row>
    <row r="299" spans="1:93" x14ac:dyDescent="0.3">
      <c r="A299" s="11">
        <v>210</v>
      </c>
      <c r="C299" s="341">
        <v>21002</v>
      </c>
      <c r="D299" s="341">
        <v>51313</v>
      </c>
      <c r="E299" s="340" t="s">
        <v>11</v>
      </c>
      <c r="G299" s="1" t="s">
        <v>329</v>
      </c>
      <c r="H299" s="26">
        <v>18916</v>
      </c>
      <c r="I299" s="244">
        <v>378</v>
      </c>
      <c r="J299" s="16">
        <f>H299+I299</f>
        <v>19294</v>
      </c>
      <c r="K299" s="122">
        <f>IF(H299=0," ",(J299-H299)/H299)</f>
        <v>1.9983083104250371E-2</v>
      </c>
      <c r="M299" s="117">
        <v>19294</v>
      </c>
      <c r="N299" s="117">
        <v>19294</v>
      </c>
      <c r="P299" s="259" t="s">
        <v>570</v>
      </c>
      <c r="R299" s="26">
        <v>19294</v>
      </c>
      <c r="S299" s="26">
        <v>0</v>
      </c>
      <c r="U299" s="26">
        <v>19294</v>
      </c>
      <c r="V299" s="244">
        <v>-19294</v>
      </c>
      <c r="W299" s="16">
        <f>U299+V299</f>
        <v>0</v>
      </c>
      <c r="X299" s="122">
        <f>IF(U299=0," ",(W299-U299)/U299)</f>
        <v>-1</v>
      </c>
      <c r="Z299" s="117">
        <v>0</v>
      </c>
      <c r="AA299" s="117">
        <v>0</v>
      </c>
      <c r="AC299" s="259" t="s">
        <v>692</v>
      </c>
      <c r="AE299" s="26">
        <v>0</v>
      </c>
      <c r="AF299" s="200">
        <v>0</v>
      </c>
      <c r="AH299" s="26">
        <v>0</v>
      </c>
      <c r="AI299" s="244"/>
      <c r="AJ299" s="16">
        <f t="shared" si="158"/>
        <v>0</v>
      </c>
      <c r="AK299" s="122" t="str">
        <f t="shared" si="152"/>
        <v xml:space="preserve"> </v>
      </c>
      <c r="AM299" s="117">
        <v>0</v>
      </c>
      <c r="AN299" s="117">
        <v>0</v>
      </c>
      <c r="AP299" s="259"/>
      <c r="AR299" s="26">
        <v>0</v>
      </c>
      <c r="AS299" s="26"/>
      <c r="AU299" s="26">
        <f t="shared" si="153"/>
        <v>0</v>
      </c>
      <c r="AV299" s="244"/>
      <c r="AW299" s="16">
        <f t="shared" si="154"/>
        <v>0</v>
      </c>
      <c r="AX299" s="122" t="str">
        <f t="shared" si="155"/>
        <v xml:space="preserve"> </v>
      </c>
      <c r="AZ299" s="117"/>
      <c r="BA299" s="117"/>
      <c r="BC299" s="259"/>
      <c r="BE299" s="26"/>
      <c r="BF299" s="26">
        <v>1184.22</v>
      </c>
      <c r="BH299" s="26"/>
      <c r="BI299" s="244"/>
      <c r="BJ299" s="16">
        <f t="shared" si="156"/>
        <v>0</v>
      </c>
      <c r="BK299" s="122" t="str">
        <f t="shared" ref="BK299:BK309" si="159">IF(BH299=0," ",(BJ299-BH299)/BH299)</f>
        <v xml:space="preserve"> </v>
      </c>
      <c r="BM299" s="117">
        <v>0</v>
      </c>
      <c r="BN299" s="117">
        <v>0</v>
      </c>
      <c r="BP299" s="259"/>
      <c r="BR299" s="117">
        <v>0</v>
      </c>
      <c r="BS299" s="26"/>
      <c r="BU299" s="26">
        <v>0</v>
      </c>
      <c r="BV299" s="244"/>
      <c r="BW299" s="576">
        <f t="shared" si="157"/>
        <v>0</v>
      </c>
      <c r="BX299" s="577" t="str">
        <f t="shared" ref="BX299:BX309" si="160">IF(BU299=0," ",(BW299-BU299)/BU299)</f>
        <v xml:space="preserve"> </v>
      </c>
      <c r="BZ299" s="166">
        <v>0</v>
      </c>
      <c r="CA299" s="166">
        <v>0</v>
      </c>
      <c r="CC299" s="776"/>
      <c r="CE299" s="166">
        <v>0</v>
      </c>
      <c r="CF299" s="166"/>
      <c r="CO299" s="16"/>
    </row>
    <row r="300" spans="1:93" x14ac:dyDescent="0.3">
      <c r="A300" s="11">
        <v>210</v>
      </c>
      <c r="B300" s="3" t="s">
        <v>2</v>
      </c>
      <c r="C300" s="341">
        <v>21002</v>
      </c>
      <c r="D300" s="341">
        <v>51401</v>
      </c>
      <c r="E300" s="340" t="s">
        <v>11</v>
      </c>
      <c r="F300" s="3" t="s">
        <v>2</v>
      </c>
      <c r="G300" s="3" t="s">
        <v>330</v>
      </c>
      <c r="H300" s="26">
        <v>40109</v>
      </c>
      <c r="I300" s="244"/>
      <c r="J300" s="16">
        <f t="shared" si="148"/>
        <v>40109</v>
      </c>
      <c r="K300" s="122">
        <f t="shared" si="149"/>
        <v>0</v>
      </c>
      <c r="M300" s="117">
        <v>40109</v>
      </c>
      <c r="N300" s="117">
        <v>40109</v>
      </c>
      <c r="P300" s="259"/>
      <c r="R300" s="26">
        <v>40109</v>
      </c>
      <c r="S300" s="26">
        <v>167.32</v>
      </c>
      <c r="U300" s="215">
        <v>40109</v>
      </c>
      <c r="V300" s="215">
        <v>-40109</v>
      </c>
      <c r="W300" s="16">
        <f t="shared" si="150"/>
        <v>0</v>
      </c>
      <c r="X300" s="122">
        <f t="shared" si="151"/>
        <v>-1</v>
      </c>
      <c r="Z300" s="117">
        <v>0</v>
      </c>
      <c r="AA300" s="117">
        <v>0</v>
      </c>
      <c r="AC300" s="152" t="s">
        <v>638</v>
      </c>
      <c r="AE300" s="26">
        <v>0</v>
      </c>
      <c r="AF300" s="200">
        <v>0</v>
      </c>
      <c r="AH300" s="26">
        <v>0</v>
      </c>
      <c r="AI300" s="244"/>
      <c r="AJ300" s="16">
        <f t="shared" si="158"/>
        <v>0</v>
      </c>
      <c r="AK300" s="122" t="str">
        <f t="shared" si="152"/>
        <v xml:space="preserve"> </v>
      </c>
      <c r="AM300" s="117">
        <v>0</v>
      </c>
      <c r="AN300" s="117">
        <v>0</v>
      </c>
      <c r="AP300" s="152"/>
      <c r="AR300" s="26">
        <v>0</v>
      </c>
      <c r="AS300" s="26"/>
      <c r="AU300" s="26">
        <f t="shared" si="153"/>
        <v>0</v>
      </c>
      <c r="AV300" s="244"/>
      <c r="AW300" s="16">
        <f t="shared" si="154"/>
        <v>0</v>
      </c>
      <c r="AX300" s="122" t="str">
        <f t="shared" si="155"/>
        <v xml:space="preserve"> </v>
      </c>
      <c r="AZ300" s="117"/>
      <c r="BA300" s="117"/>
      <c r="BC300" s="152"/>
      <c r="BE300" s="26"/>
      <c r="BF300" s="26"/>
      <c r="BH300" s="26"/>
      <c r="BI300" s="244"/>
      <c r="BJ300" s="16">
        <f t="shared" si="156"/>
        <v>0</v>
      </c>
      <c r="BK300" s="122" t="str">
        <f t="shared" si="159"/>
        <v xml:space="preserve"> </v>
      </c>
      <c r="BM300" s="117">
        <v>0</v>
      </c>
      <c r="BN300" s="117">
        <v>0</v>
      </c>
      <c r="BP300" s="399"/>
      <c r="BR300" s="117">
        <v>0</v>
      </c>
      <c r="BS300" s="26"/>
      <c r="BU300" s="26">
        <v>0</v>
      </c>
      <c r="BV300" s="244"/>
      <c r="BW300" s="576">
        <f t="shared" si="157"/>
        <v>0</v>
      </c>
      <c r="BX300" s="577" t="str">
        <f t="shared" si="160"/>
        <v xml:space="preserve"> </v>
      </c>
      <c r="BZ300" s="166">
        <v>0</v>
      </c>
      <c r="CA300" s="166">
        <v>0</v>
      </c>
      <c r="CC300" s="776"/>
      <c r="CE300" s="166">
        <v>0</v>
      </c>
      <c r="CF300" s="166"/>
      <c r="CO300" s="16"/>
    </row>
    <row r="301" spans="1:93" x14ac:dyDescent="0.3">
      <c r="A301" s="11">
        <v>210</v>
      </c>
      <c r="B301" s="3" t="s">
        <v>2</v>
      </c>
      <c r="C301" s="341">
        <v>21002</v>
      </c>
      <c r="D301" s="341">
        <v>51410</v>
      </c>
      <c r="E301" s="340" t="s">
        <v>11</v>
      </c>
      <c r="F301" s="3" t="s">
        <v>2</v>
      </c>
      <c r="G301" s="3" t="s">
        <v>331</v>
      </c>
      <c r="H301" s="26">
        <v>41555</v>
      </c>
      <c r="I301" s="244"/>
      <c r="J301" s="16">
        <f t="shared" si="148"/>
        <v>41555</v>
      </c>
      <c r="K301" s="122">
        <f t="shared" si="149"/>
        <v>0</v>
      </c>
      <c r="M301" s="117">
        <v>41555</v>
      </c>
      <c r="N301" s="117">
        <v>41555</v>
      </c>
      <c r="P301" s="259"/>
      <c r="R301" s="26">
        <v>41555</v>
      </c>
      <c r="S301" s="26">
        <v>39075.29</v>
      </c>
      <c r="U301" s="26">
        <v>41555</v>
      </c>
      <c r="V301" s="244">
        <v>1945</v>
      </c>
      <c r="W301" s="16">
        <f t="shared" si="150"/>
        <v>43500</v>
      </c>
      <c r="X301" s="122">
        <f t="shared" si="151"/>
        <v>4.6805438575382025E-2</v>
      </c>
      <c r="Z301" s="117">
        <v>43500</v>
      </c>
      <c r="AA301" s="117">
        <v>43500</v>
      </c>
      <c r="AC301" s="259"/>
      <c r="AE301" s="26">
        <v>43500</v>
      </c>
      <c r="AF301" s="200">
        <v>41377.33</v>
      </c>
      <c r="AH301" s="26">
        <v>43500</v>
      </c>
      <c r="AI301" s="244">
        <v>2281</v>
      </c>
      <c r="AJ301" s="16">
        <f t="shared" si="158"/>
        <v>45781</v>
      </c>
      <c r="AK301" s="122">
        <f t="shared" si="152"/>
        <v>5.2436781609195404E-2</v>
      </c>
      <c r="AM301" s="117">
        <v>45781</v>
      </c>
      <c r="AN301" s="117">
        <v>45781</v>
      </c>
      <c r="AP301" s="259" t="s">
        <v>856</v>
      </c>
      <c r="AR301" s="26">
        <v>45781</v>
      </c>
      <c r="AS301" s="26">
        <v>36064.300000000003</v>
      </c>
      <c r="AU301" s="26">
        <f t="shared" si="153"/>
        <v>45781</v>
      </c>
      <c r="AV301" s="244">
        <v>2240</v>
      </c>
      <c r="AW301" s="16">
        <f t="shared" si="154"/>
        <v>48021</v>
      </c>
      <c r="AX301" s="122">
        <f t="shared" si="155"/>
        <v>4.8928594831917173E-2</v>
      </c>
      <c r="AZ301" s="117">
        <v>48021</v>
      </c>
      <c r="BA301" s="117">
        <f>48021+1900</f>
        <v>49921</v>
      </c>
      <c r="BC301" s="266" t="s">
        <v>1048</v>
      </c>
      <c r="BE301" s="26">
        <f>48021+1900</f>
        <v>49921</v>
      </c>
      <c r="BF301" s="26">
        <v>32311.040000000001</v>
      </c>
      <c r="BH301" s="26">
        <f>48021+1900</f>
        <v>49921</v>
      </c>
      <c r="BI301" s="244">
        <v>-10699</v>
      </c>
      <c r="BJ301" s="16">
        <f t="shared" si="156"/>
        <v>39222</v>
      </c>
      <c r="BK301" s="122">
        <f t="shared" si="159"/>
        <v>-0.21431862342501151</v>
      </c>
      <c r="BM301" s="117">
        <v>39222</v>
      </c>
      <c r="BN301" s="117">
        <v>39222</v>
      </c>
      <c r="BP301" s="399"/>
      <c r="BR301" s="117">
        <v>39222</v>
      </c>
      <c r="BS301" s="26">
        <v>15973.55</v>
      </c>
      <c r="BU301" s="26">
        <v>39222</v>
      </c>
      <c r="BV301" s="244">
        <f>5399+1373+432</f>
        <v>7204</v>
      </c>
      <c r="BW301" s="576">
        <f t="shared" si="157"/>
        <v>46426</v>
      </c>
      <c r="BX301" s="577">
        <f t="shared" si="160"/>
        <v>0.18367242873897302</v>
      </c>
      <c r="BZ301" s="166">
        <v>46426</v>
      </c>
      <c r="CA301" s="166">
        <v>46426</v>
      </c>
      <c r="CC301" s="801" t="s">
        <v>1430</v>
      </c>
      <c r="CE301" s="166">
        <v>46426</v>
      </c>
      <c r="CF301" s="166"/>
      <c r="CO301" s="16"/>
    </row>
    <row r="302" spans="1:93" x14ac:dyDescent="0.3">
      <c r="A302" s="11">
        <v>210</v>
      </c>
      <c r="B302" s="3" t="s">
        <v>2</v>
      </c>
      <c r="C302" s="341">
        <v>21002</v>
      </c>
      <c r="D302" s="341">
        <v>51412</v>
      </c>
      <c r="E302" s="340" t="s">
        <v>11</v>
      </c>
      <c r="F302" s="3" t="s">
        <v>2</v>
      </c>
      <c r="G302" s="3" t="s">
        <v>332</v>
      </c>
      <c r="H302" s="26">
        <v>5420</v>
      </c>
      <c r="I302" s="244">
        <v>108</v>
      </c>
      <c r="J302" s="16">
        <f t="shared" si="148"/>
        <v>5528</v>
      </c>
      <c r="K302" s="122">
        <f t="shared" si="149"/>
        <v>1.9926199261992621E-2</v>
      </c>
      <c r="M302" s="117">
        <v>5528</v>
      </c>
      <c r="N302" s="117">
        <v>5528</v>
      </c>
      <c r="P302" s="259" t="s">
        <v>570</v>
      </c>
      <c r="R302" s="26">
        <v>5528</v>
      </c>
      <c r="S302" s="26">
        <v>2564.9499999999998</v>
      </c>
      <c r="U302" s="26">
        <v>5528</v>
      </c>
      <c r="V302" s="244">
        <v>87</v>
      </c>
      <c r="W302" s="16">
        <f t="shared" si="150"/>
        <v>5615</v>
      </c>
      <c r="X302" s="122">
        <f t="shared" si="151"/>
        <v>1.5738060781476122E-2</v>
      </c>
      <c r="Z302" s="117">
        <v>5615</v>
      </c>
      <c r="AA302" s="117">
        <v>5615</v>
      </c>
      <c r="AC302" s="259"/>
      <c r="AE302" s="26">
        <v>5615</v>
      </c>
      <c r="AF302" s="200">
        <v>4243.8500000000004</v>
      </c>
      <c r="AH302" s="26">
        <v>5615</v>
      </c>
      <c r="AI302" s="244">
        <v>895</v>
      </c>
      <c r="AJ302" s="16">
        <f t="shared" si="158"/>
        <v>6510</v>
      </c>
      <c r="AK302" s="122">
        <f t="shared" si="152"/>
        <v>0.15939447907390916</v>
      </c>
      <c r="AM302" s="117">
        <v>6510</v>
      </c>
      <c r="AN302" s="117">
        <v>6510</v>
      </c>
      <c r="AP302" s="279" t="s">
        <v>876</v>
      </c>
      <c r="AR302" s="26">
        <v>6510</v>
      </c>
      <c r="AS302" s="26">
        <v>1607.6</v>
      </c>
      <c r="AU302" s="26">
        <f t="shared" si="153"/>
        <v>6510</v>
      </c>
      <c r="AV302" s="244">
        <v>-2240</v>
      </c>
      <c r="AW302" s="16">
        <f t="shared" si="154"/>
        <v>4270</v>
      </c>
      <c r="AX302" s="122">
        <f t="shared" si="155"/>
        <v>-0.34408602150537637</v>
      </c>
      <c r="AZ302" s="117">
        <v>4270</v>
      </c>
      <c r="BA302" s="117">
        <v>4270</v>
      </c>
      <c r="BC302" s="327" t="s">
        <v>1034</v>
      </c>
      <c r="BE302" s="26">
        <v>4270</v>
      </c>
      <c r="BF302" s="26">
        <v>5964.05</v>
      </c>
      <c r="BH302" s="26">
        <v>4270</v>
      </c>
      <c r="BI302" s="244">
        <v>1129</v>
      </c>
      <c r="BJ302" s="16">
        <f t="shared" si="156"/>
        <v>5399</v>
      </c>
      <c r="BK302" s="122">
        <f t="shared" si="159"/>
        <v>0.26440281030444968</v>
      </c>
      <c r="BM302" s="117">
        <v>5399</v>
      </c>
      <c r="BN302" s="117">
        <v>5399</v>
      </c>
      <c r="BP302" s="399"/>
      <c r="BR302" s="117">
        <v>5399</v>
      </c>
      <c r="BS302" s="26">
        <v>1472.64</v>
      </c>
      <c r="BU302" s="26">
        <v>5399</v>
      </c>
      <c r="BV302" s="244">
        <f>-5399</f>
        <v>-5399</v>
      </c>
      <c r="BW302" s="576">
        <f t="shared" si="157"/>
        <v>0</v>
      </c>
      <c r="BX302" s="577">
        <f t="shared" si="160"/>
        <v>-1</v>
      </c>
      <c r="BZ302" s="166">
        <v>0</v>
      </c>
      <c r="CA302" s="166">
        <v>0</v>
      </c>
      <c r="CC302" s="801" t="s">
        <v>1431</v>
      </c>
      <c r="CE302" s="166">
        <v>0</v>
      </c>
      <c r="CF302" s="166"/>
      <c r="CO302" s="16"/>
    </row>
    <row r="303" spans="1:93" x14ac:dyDescent="0.3">
      <c r="A303" s="11">
        <v>210</v>
      </c>
      <c r="B303" s="3" t="s">
        <v>2</v>
      </c>
      <c r="C303" s="341">
        <v>21002</v>
      </c>
      <c r="D303" s="341">
        <v>51414</v>
      </c>
      <c r="E303" s="340" t="s">
        <v>11</v>
      </c>
      <c r="F303" s="3" t="s">
        <v>2</v>
      </c>
      <c r="G303" s="3" t="s">
        <v>333</v>
      </c>
      <c r="H303" s="26">
        <v>1445</v>
      </c>
      <c r="I303" s="244">
        <v>714</v>
      </c>
      <c r="J303" s="16">
        <f t="shared" si="148"/>
        <v>2159</v>
      </c>
      <c r="K303" s="122">
        <f t="shared" si="149"/>
        <v>0.49411764705882355</v>
      </c>
      <c r="M303" s="117">
        <v>2159</v>
      </c>
      <c r="N303" s="117">
        <v>2159</v>
      </c>
      <c r="P303" s="259"/>
      <c r="R303" s="26">
        <v>2159</v>
      </c>
      <c r="S303" s="26">
        <v>3278.83</v>
      </c>
      <c r="U303" s="26">
        <v>2159</v>
      </c>
      <c r="V303" s="244">
        <v>-2159</v>
      </c>
      <c r="W303" s="16">
        <f t="shared" si="150"/>
        <v>0</v>
      </c>
      <c r="X303" s="122">
        <f t="shared" si="151"/>
        <v>-1</v>
      </c>
      <c r="Z303" s="117">
        <v>0</v>
      </c>
      <c r="AA303" s="117">
        <v>0</v>
      </c>
      <c r="AC303" s="259" t="s">
        <v>726</v>
      </c>
      <c r="AE303" s="26">
        <v>0</v>
      </c>
      <c r="AF303" s="200">
        <v>0</v>
      </c>
      <c r="AH303" s="26">
        <v>0</v>
      </c>
      <c r="AI303" s="244"/>
      <c r="AJ303" s="16">
        <f t="shared" si="158"/>
        <v>0</v>
      </c>
      <c r="AK303" s="122" t="str">
        <f t="shared" si="152"/>
        <v xml:space="preserve"> </v>
      </c>
      <c r="AM303" s="117">
        <v>0</v>
      </c>
      <c r="AN303" s="117">
        <v>0</v>
      </c>
      <c r="AP303" s="259"/>
      <c r="AR303" s="26">
        <v>0</v>
      </c>
      <c r="AS303" s="26"/>
      <c r="AU303" s="26">
        <f t="shared" si="153"/>
        <v>0</v>
      </c>
      <c r="AV303" s="244"/>
      <c r="AW303" s="16">
        <f t="shared" si="154"/>
        <v>0</v>
      </c>
      <c r="AX303" s="122" t="str">
        <f t="shared" si="155"/>
        <v xml:space="preserve"> </v>
      </c>
      <c r="AZ303" s="117"/>
      <c r="BA303" s="117"/>
      <c r="BC303" s="259"/>
      <c r="BE303" s="26"/>
      <c r="BF303" s="26"/>
      <c r="BH303" s="26"/>
      <c r="BI303" s="244"/>
      <c r="BJ303" s="16">
        <f t="shared" si="156"/>
        <v>0</v>
      </c>
      <c r="BK303" s="122" t="str">
        <f t="shared" si="159"/>
        <v xml:space="preserve"> </v>
      </c>
      <c r="BM303" s="117">
        <v>0</v>
      </c>
      <c r="BN303" s="117">
        <v>0</v>
      </c>
      <c r="BP303" s="259"/>
      <c r="BR303" s="117">
        <v>0</v>
      </c>
      <c r="BS303" s="26"/>
      <c r="BU303" s="26">
        <v>0</v>
      </c>
      <c r="BV303" s="244"/>
      <c r="BW303" s="576">
        <f t="shared" si="157"/>
        <v>0</v>
      </c>
      <c r="BX303" s="577" t="str">
        <f t="shared" si="160"/>
        <v xml:space="preserve"> </v>
      </c>
      <c r="BZ303" s="166">
        <v>0</v>
      </c>
      <c r="CA303" s="166">
        <v>0</v>
      </c>
      <c r="CC303" s="776"/>
      <c r="CE303" s="166">
        <v>0</v>
      </c>
      <c r="CF303" s="166"/>
      <c r="CO303" s="16"/>
    </row>
    <row r="304" spans="1:93" x14ac:dyDescent="0.3">
      <c r="A304" s="11">
        <v>210</v>
      </c>
      <c r="B304" s="3" t="s">
        <v>2</v>
      </c>
      <c r="C304" s="341">
        <v>21002</v>
      </c>
      <c r="D304" s="341">
        <v>51420</v>
      </c>
      <c r="E304" s="340" t="s">
        <v>11</v>
      </c>
      <c r="F304" s="3" t="s">
        <v>2</v>
      </c>
      <c r="G304" s="3" t="s">
        <v>1088</v>
      </c>
      <c r="H304" s="26">
        <v>47147</v>
      </c>
      <c r="I304" s="244"/>
      <c r="J304" s="16">
        <f t="shared" si="148"/>
        <v>47147</v>
      </c>
      <c r="K304" s="122">
        <f t="shared" si="149"/>
        <v>0</v>
      </c>
      <c r="M304" s="117">
        <v>47147</v>
      </c>
      <c r="N304" s="117">
        <v>47147</v>
      </c>
      <c r="P304" s="259"/>
      <c r="R304" s="26">
        <v>47147</v>
      </c>
      <c r="S304" s="26">
        <v>49532.23</v>
      </c>
      <c r="U304" s="26">
        <v>47147</v>
      </c>
      <c r="V304" s="244">
        <v>14928</v>
      </c>
      <c r="W304" s="16">
        <f t="shared" si="150"/>
        <v>62075</v>
      </c>
      <c r="X304" s="122">
        <f t="shared" si="151"/>
        <v>0.31662672068212189</v>
      </c>
      <c r="Z304" s="117">
        <v>62075</v>
      </c>
      <c r="AA304" s="117">
        <v>62075</v>
      </c>
      <c r="AC304" s="259"/>
      <c r="AE304" s="26">
        <v>62075</v>
      </c>
      <c r="AF304" s="200">
        <v>60706.74</v>
      </c>
      <c r="AH304" s="26">
        <v>62075</v>
      </c>
      <c r="AI304" s="244">
        <v>1168</v>
      </c>
      <c r="AJ304" s="16">
        <f t="shared" si="158"/>
        <v>63243</v>
      </c>
      <c r="AK304" s="122">
        <f t="shared" si="152"/>
        <v>1.8815948449456305E-2</v>
      </c>
      <c r="AM304" s="117">
        <v>63243</v>
      </c>
      <c r="AN304" s="117">
        <v>63243</v>
      </c>
      <c r="AP304" s="279" t="s">
        <v>877</v>
      </c>
      <c r="AR304" s="26">
        <v>63243</v>
      </c>
      <c r="AS304" s="26">
        <v>54570.62</v>
      </c>
      <c r="AU304" s="26">
        <f t="shared" si="153"/>
        <v>63243</v>
      </c>
      <c r="AV304" s="244"/>
      <c r="AW304" s="16">
        <f t="shared" si="154"/>
        <v>63243</v>
      </c>
      <c r="AX304" s="122">
        <f t="shared" si="155"/>
        <v>0</v>
      </c>
      <c r="AZ304" s="117">
        <v>63243</v>
      </c>
      <c r="BA304" s="117">
        <f>63243+12215</f>
        <v>75458</v>
      </c>
      <c r="BC304" s="266" t="s">
        <v>1047</v>
      </c>
      <c r="BE304" s="26">
        <f>63243+12215</f>
        <v>75458</v>
      </c>
      <c r="BF304" s="26">
        <v>51870.76</v>
      </c>
      <c r="BH304" s="26">
        <f>63243+12215</f>
        <v>75458</v>
      </c>
      <c r="BI304" s="244">
        <v>-13358</v>
      </c>
      <c r="BJ304" s="16">
        <f t="shared" si="156"/>
        <v>62100</v>
      </c>
      <c r="BK304" s="122">
        <f t="shared" si="159"/>
        <v>-0.17702563015187256</v>
      </c>
      <c r="BM304" s="117">
        <v>62100</v>
      </c>
      <c r="BN304" s="117">
        <v>62100</v>
      </c>
      <c r="BP304" s="399"/>
      <c r="BR304" s="117">
        <v>62100</v>
      </c>
      <c r="BS304" s="26">
        <v>5347.04</v>
      </c>
      <c r="BU304" s="26">
        <v>62100</v>
      </c>
      <c r="BV304" s="828">
        <f>13700+17086</f>
        <v>30786</v>
      </c>
      <c r="BW304" s="576">
        <f t="shared" si="157"/>
        <v>92886</v>
      </c>
      <c r="BX304" s="577">
        <f t="shared" si="160"/>
        <v>0.49574879227053142</v>
      </c>
      <c r="BZ304" s="166">
        <v>92886</v>
      </c>
      <c r="CA304" s="166">
        <v>92886</v>
      </c>
      <c r="CC304" s="776" t="s">
        <v>1562</v>
      </c>
      <c r="CE304" s="166">
        <v>92886</v>
      </c>
      <c r="CF304" s="166"/>
      <c r="CO304" s="16"/>
    </row>
    <row r="305" spans="1:93" x14ac:dyDescent="0.3">
      <c r="A305" s="11">
        <v>210</v>
      </c>
      <c r="B305" s="3" t="s">
        <v>2</v>
      </c>
      <c r="C305" s="341">
        <v>21002</v>
      </c>
      <c r="D305" s="341">
        <v>51490</v>
      </c>
      <c r="E305" s="340" t="s">
        <v>11</v>
      </c>
      <c r="F305" s="3" t="s">
        <v>2</v>
      </c>
      <c r="G305" s="3" t="s">
        <v>334</v>
      </c>
      <c r="H305" s="26">
        <v>10850</v>
      </c>
      <c r="I305" s="244">
        <v>-725</v>
      </c>
      <c r="J305" s="16">
        <f t="shared" si="148"/>
        <v>10125</v>
      </c>
      <c r="K305" s="122">
        <f t="shared" si="149"/>
        <v>-6.6820276497695855E-2</v>
      </c>
      <c r="M305" s="117">
        <v>10125</v>
      </c>
      <c r="N305" s="117">
        <v>10125</v>
      </c>
      <c r="P305" s="259" t="s">
        <v>571</v>
      </c>
      <c r="R305" s="26">
        <v>10125</v>
      </c>
      <c r="S305" s="26">
        <v>8625</v>
      </c>
      <c r="U305" s="26">
        <v>10125</v>
      </c>
      <c r="V305" s="244">
        <v>-375</v>
      </c>
      <c r="W305" s="16">
        <f t="shared" si="150"/>
        <v>9750</v>
      </c>
      <c r="X305" s="122">
        <f t="shared" si="151"/>
        <v>-3.7037037037037035E-2</v>
      </c>
      <c r="Z305" s="117">
        <v>9750</v>
      </c>
      <c r="AA305" s="117">
        <v>9750</v>
      </c>
      <c r="AC305" s="259"/>
      <c r="AE305" s="26">
        <v>9750</v>
      </c>
      <c r="AF305" s="200">
        <v>6650</v>
      </c>
      <c r="AH305" s="26">
        <v>9750</v>
      </c>
      <c r="AI305" s="244">
        <v>500</v>
      </c>
      <c r="AJ305" s="16">
        <f t="shared" si="158"/>
        <v>10250</v>
      </c>
      <c r="AK305" s="122">
        <f t="shared" si="152"/>
        <v>5.128205128205128E-2</v>
      </c>
      <c r="AM305" s="117">
        <v>10250</v>
      </c>
      <c r="AN305" s="117">
        <v>10250</v>
      </c>
      <c r="AP305" s="259" t="s">
        <v>856</v>
      </c>
      <c r="AR305" s="26">
        <v>10250</v>
      </c>
      <c r="AS305" s="26">
        <v>7750</v>
      </c>
      <c r="AU305" s="26">
        <f t="shared" si="153"/>
        <v>10250</v>
      </c>
      <c r="AV305" s="244">
        <v>375</v>
      </c>
      <c r="AW305" s="336">
        <f t="shared" si="154"/>
        <v>10625</v>
      </c>
      <c r="AX305" s="122">
        <f t="shared" si="155"/>
        <v>3.6585365853658534E-2</v>
      </c>
      <c r="AZ305" s="117">
        <v>10625</v>
      </c>
      <c r="BA305" s="117">
        <f>10625-1500</f>
        <v>9125</v>
      </c>
      <c r="BC305" s="259" t="s">
        <v>1032</v>
      </c>
      <c r="BE305" s="26">
        <f>10625-1500</f>
        <v>9125</v>
      </c>
      <c r="BF305" s="26">
        <v>6750</v>
      </c>
      <c r="BH305" s="26">
        <f>10625-1500</f>
        <v>9125</v>
      </c>
      <c r="BI305" s="244">
        <v>-1300</v>
      </c>
      <c r="BJ305" s="16">
        <f t="shared" si="156"/>
        <v>7825</v>
      </c>
      <c r="BK305" s="122">
        <f t="shared" si="159"/>
        <v>-0.14246575342465753</v>
      </c>
      <c r="BM305" s="117">
        <v>7825</v>
      </c>
      <c r="BN305" s="117">
        <v>7825</v>
      </c>
      <c r="BP305" s="259" t="s">
        <v>570</v>
      </c>
      <c r="BR305" s="117">
        <v>7825</v>
      </c>
      <c r="BS305" s="26">
        <v>6000</v>
      </c>
      <c r="BU305" s="26">
        <v>7825</v>
      </c>
      <c r="BV305" s="533">
        <v>-925</v>
      </c>
      <c r="BW305" s="576">
        <f t="shared" si="157"/>
        <v>6900</v>
      </c>
      <c r="BX305" s="577">
        <f t="shared" si="160"/>
        <v>-0.1182108626198083</v>
      </c>
      <c r="BZ305" s="166">
        <v>6900</v>
      </c>
      <c r="CA305" s="166">
        <f>6900-325</f>
        <v>6575</v>
      </c>
      <c r="CC305" s="776" t="s">
        <v>1643</v>
      </c>
      <c r="CE305" s="247">
        <f>6900-325</f>
        <v>6575</v>
      </c>
      <c r="CF305" s="166"/>
      <c r="CO305" s="16"/>
    </row>
    <row r="306" spans="1:93" x14ac:dyDescent="0.3">
      <c r="A306" s="11">
        <v>210</v>
      </c>
      <c r="B306" s="3" t="s">
        <v>2</v>
      </c>
      <c r="C306" s="341">
        <v>21002</v>
      </c>
      <c r="D306" s="341">
        <v>51910</v>
      </c>
      <c r="E306" s="340" t="s">
        <v>11</v>
      </c>
      <c r="F306" s="3" t="s">
        <v>2</v>
      </c>
      <c r="G306" s="3" t="s">
        <v>335</v>
      </c>
      <c r="H306" s="26">
        <v>50816</v>
      </c>
      <c r="I306" s="244">
        <v>3618</v>
      </c>
      <c r="J306" s="16">
        <f t="shared" si="148"/>
        <v>54434</v>
      </c>
      <c r="K306" s="122">
        <f t="shared" si="149"/>
        <v>7.1198047858942071E-2</v>
      </c>
      <c r="M306" s="117">
        <v>54434</v>
      </c>
      <c r="N306" s="117">
        <v>54434</v>
      </c>
      <c r="P306" s="259" t="s">
        <v>572</v>
      </c>
      <c r="R306" s="26">
        <v>54434</v>
      </c>
      <c r="S306" s="26">
        <v>51083.5</v>
      </c>
      <c r="U306" s="26">
        <v>54434</v>
      </c>
      <c r="V306" s="244">
        <f>7571-5</f>
        <v>7566</v>
      </c>
      <c r="W306" s="16">
        <f t="shared" si="150"/>
        <v>62000</v>
      </c>
      <c r="X306" s="122">
        <f t="shared" si="151"/>
        <v>0.13899401109600618</v>
      </c>
      <c r="Z306" s="117">
        <v>62000</v>
      </c>
      <c r="AA306" s="117">
        <v>62005</v>
      </c>
      <c r="AC306" s="259"/>
      <c r="AE306" s="26">
        <v>62005</v>
      </c>
      <c r="AF306" s="200">
        <v>44189.68</v>
      </c>
      <c r="AH306" s="26">
        <v>62005</v>
      </c>
      <c r="AI306" s="244">
        <v>2800</v>
      </c>
      <c r="AJ306" s="16">
        <f t="shared" si="158"/>
        <v>64805</v>
      </c>
      <c r="AK306" s="122">
        <f t="shared" si="152"/>
        <v>4.5157648576727681E-2</v>
      </c>
      <c r="AM306" s="117">
        <f>64805+12720</f>
        <v>77525</v>
      </c>
      <c r="AN306" s="117">
        <f>64805+12720</f>
        <v>77525</v>
      </c>
      <c r="AP306" s="280" t="s">
        <v>878</v>
      </c>
      <c r="AR306" s="26">
        <f>64805+12720</f>
        <v>77525</v>
      </c>
      <c r="AS306" s="26">
        <v>14607.36</v>
      </c>
      <c r="AU306" s="26">
        <f t="shared" si="153"/>
        <v>77525</v>
      </c>
      <c r="AV306" s="244"/>
      <c r="AW306" s="16">
        <f t="shared" si="154"/>
        <v>77525</v>
      </c>
      <c r="AX306" s="122">
        <f t="shared" si="155"/>
        <v>0</v>
      </c>
      <c r="AZ306" s="117">
        <v>77525</v>
      </c>
      <c r="BA306" s="117">
        <f>77525+8450</f>
        <v>85975</v>
      </c>
      <c r="BC306" s="266" t="s">
        <v>1050</v>
      </c>
      <c r="BE306" s="26">
        <f>77525+8450</f>
        <v>85975</v>
      </c>
      <c r="BF306" s="26">
        <v>42840.28</v>
      </c>
      <c r="BH306" s="26">
        <f>77525+8450</f>
        <v>85975</v>
      </c>
      <c r="BI306" s="244">
        <v>-13423</v>
      </c>
      <c r="BJ306" s="16">
        <f t="shared" si="156"/>
        <v>72552</v>
      </c>
      <c r="BK306" s="122">
        <f t="shared" si="159"/>
        <v>-0.15612678104100028</v>
      </c>
      <c r="BM306" s="117">
        <v>72552</v>
      </c>
      <c r="BN306" s="117">
        <v>72552</v>
      </c>
      <c r="BP306" s="399"/>
      <c r="BR306" s="117">
        <v>72552</v>
      </c>
      <c r="BS306" s="26">
        <v>10370.81</v>
      </c>
      <c r="BU306" s="26">
        <v>72552</v>
      </c>
      <c r="BV306" s="403">
        <v>-5888</v>
      </c>
      <c r="BW306" s="576">
        <f t="shared" si="157"/>
        <v>66664</v>
      </c>
      <c r="BX306" s="577">
        <f t="shared" si="160"/>
        <v>-8.1155584959753002E-2</v>
      </c>
      <c r="BZ306" s="166">
        <v>66664</v>
      </c>
      <c r="CA306" s="166">
        <f>66664-2660</f>
        <v>64004</v>
      </c>
      <c r="CC306" s="776" t="s">
        <v>1644</v>
      </c>
      <c r="CE306" s="247">
        <f>66664-2660</f>
        <v>64004</v>
      </c>
      <c r="CF306" s="166"/>
      <c r="CO306" s="16"/>
    </row>
    <row r="307" spans="1:93" s="6" customFormat="1" x14ac:dyDescent="0.3">
      <c r="A307" s="23">
        <v>210</v>
      </c>
      <c r="B307" s="7" t="s">
        <v>2</v>
      </c>
      <c r="C307" s="342">
        <v>21002</v>
      </c>
      <c r="D307" s="342">
        <v>51912</v>
      </c>
      <c r="E307" s="343" t="s">
        <v>11</v>
      </c>
      <c r="F307" s="7" t="s">
        <v>2</v>
      </c>
      <c r="G307" s="7" t="s">
        <v>336</v>
      </c>
      <c r="H307" s="146">
        <v>4200</v>
      </c>
      <c r="I307" s="246"/>
      <c r="J307" s="31">
        <f t="shared" si="148"/>
        <v>4200</v>
      </c>
      <c r="K307" s="148">
        <f t="shared" si="149"/>
        <v>0</v>
      </c>
      <c r="M307" s="147">
        <v>4200</v>
      </c>
      <c r="N307" s="147">
        <v>4200</v>
      </c>
      <c r="P307" s="149"/>
      <c r="R307" s="146">
        <v>4200</v>
      </c>
      <c r="S307" s="146">
        <v>2800</v>
      </c>
      <c r="U307" s="146">
        <v>4200</v>
      </c>
      <c r="V307" s="246">
        <v>-600</v>
      </c>
      <c r="W307" s="31">
        <f t="shared" si="150"/>
        <v>3600</v>
      </c>
      <c r="X307" s="148">
        <f t="shared" si="151"/>
        <v>-0.14285714285714285</v>
      </c>
      <c r="Z307" s="147">
        <v>3600</v>
      </c>
      <c r="AA307" s="147">
        <v>3600</v>
      </c>
      <c r="AC307" s="149"/>
      <c r="AE307" s="146">
        <v>3600</v>
      </c>
      <c r="AF307" s="272">
        <v>3050</v>
      </c>
      <c r="AH307" s="146">
        <v>3600</v>
      </c>
      <c r="AI307" s="246"/>
      <c r="AJ307" s="31">
        <f t="shared" si="158"/>
        <v>3600</v>
      </c>
      <c r="AK307" s="148">
        <f t="shared" si="152"/>
        <v>0</v>
      </c>
      <c r="AM307" s="147">
        <v>3600</v>
      </c>
      <c r="AN307" s="147">
        <v>3600</v>
      </c>
      <c r="AP307" s="259"/>
      <c r="AR307" s="146">
        <v>3600</v>
      </c>
      <c r="AS307" s="26">
        <v>0</v>
      </c>
      <c r="AU307" s="26">
        <f t="shared" si="153"/>
        <v>3600</v>
      </c>
      <c r="AV307" s="244">
        <v>0</v>
      </c>
      <c r="AW307" s="31">
        <f t="shared" si="154"/>
        <v>3600</v>
      </c>
      <c r="AX307" s="148">
        <f t="shared" si="155"/>
        <v>0</v>
      </c>
      <c r="AZ307" s="117">
        <v>3600</v>
      </c>
      <c r="BA307" s="117">
        <f>3600+900</f>
        <v>4500</v>
      </c>
      <c r="BC307" s="266" t="s">
        <v>1049</v>
      </c>
      <c r="BE307" s="26">
        <f>3600+900</f>
        <v>4500</v>
      </c>
      <c r="BF307" s="26">
        <v>3300</v>
      </c>
      <c r="BH307" s="26">
        <f>3600+900</f>
        <v>4500</v>
      </c>
      <c r="BI307" s="244">
        <v>300</v>
      </c>
      <c r="BJ307" s="31">
        <f t="shared" si="156"/>
        <v>4800</v>
      </c>
      <c r="BK307" s="148">
        <f t="shared" si="159"/>
        <v>6.6666666666666666E-2</v>
      </c>
      <c r="BM307" s="147">
        <v>4800</v>
      </c>
      <c r="BN307" s="147">
        <v>4800</v>
      </c>
      <c r="BP307" s="259" t="s">
        <v>570</v>
      </c>
      <c r="BR307" s="147">
        <v>4800</v>
      </c>
      <c r="BS307" s="146">
        <v>1661.76</v>
      </c>
      <c r="BU307" s="146">
        <v>4800</v>
      </c>
      <c r="BV307" s="533">
        <v>-900</v>
      </c>
      <c r="BW307" s="583">
        <f t="shared" si="157"/>
        <v>3900</v>
      </c>
      <c r="BX307" s="584">
        <f t="shared" si="160"/>
        <v>-0.1875</v>
      </c>
      <c r="BY307" s="599"/>
      <c r="BZ307" s="585">
        <v>3900</v>
      </c>
      <c r="CA307" s="585">
        <v>3900</v>
      </c>
      <c r="CB307" s="599"/>
      <c r="CC307" s="776" t="s">
        <v>1425</v>
      </c>
      <c r="CD307" s="599"/>
      <c r="CE307" s="585">
        <v>3900</v>
      </c>
      <c r="CF307" s="585"/>
      <c r="CH307" s="816"/>
      <c r="CI307" s="816"/>
      <c r="CJ307" s="887"/>
      <c r="CO307" s="16"/>
    </row>
    <row r="308" spans="1:93" s="6" customFormat="1" x14ac:dyDescent="0.3">
      <c r="A308" s="23">
        <v>210</v>
      </c>
      <c r="B308" s="7"/>
      <c r="C308" s="342">
        <v>21002</v>
      </c>
      <c r="D308" s="342">
        <v>51916</v>
      </c>
      <c r="E308" s="343" t="s">
        <v>11</v>
      </c>
      <c r="F308" s="7"/>
      <c r="G308" s="7" t="s">
        <v>858</v>
      </c>
      <c r="H308" s="146"/>
      <c r="I308" s="246"/>
      <c r="J308" s="31"/>
      <c r="K308" s="148"/>
      <c r="M308" s="147"/>
      <c r="N308" s="147"/>
      <c r="P308" s="149"/>
      <c r="R308" s="146"/>
      <c r="S308" s="146"/>
      <c r="U308" s="146"/>
      <c r="V308" s="246"/>
      <c r="W308" s="31"/>
      <c r="X308" s="148"/>
      <c r="Z308" s="147"/>
      <c r="AA308" s="147"/>
      <c r="AC308" s="149"/>
      <c r="AE308" s="146"/>
      <c r="AF308" s="272"/>
      <c r="AH308" s="146"/>
      <c r="AI308" s="246">
        <v>2000</v>
      </c>
      <c r="AJ308" s="31">
        <f t="shared" si="158"/>
        <v>2000</v>
      </c>
      <c r="AK308" s="148" t="str">
        <f t="shared" si="152"/>
        <v xml:space="preserve"> </v>
      </c>
      <c r="AM308" s="147">
        <v>2000</v>
      </c>
      <c r="AN308" s="147">
        <v>2000</v>
      </c>
      <c r="AP308" s="259" t="s">
        <v>857</v>
      </c>
      <c r="AR308" s="146">
        <v>2000</v>
      </c>
      <c r="AS308" s="26">
        <v>7650</v>
      </c>
      <c r="AU308" s="26">
        <f t="shared" si="153"/>
        <v>2000</v>
      </c>
      <c r="AV308" s="244"/>
      <c r="AW308" s="31">
        <f t="shared" si="154"/>
        <v>2000</v>
      </c>
      <c r="AX308" s="148">
        <f t="shared" si="155"/>
        <v>0</v>
      </c>
      <c r="AZ308" s="117">
        <v>2000</v>
      </c>
      <c r="BA308" s="117">
        <v>2000</v>
      </c>
      <c r="BC308" s="259"/>
      <c r="BE308" s="26">
        <v>2000</v>
      </c>
      <c r="BF308" s="26">
        <v>400</v>
      </c>
      <c r="BH308" s="26">
        <v>2000</v>
      </c>
      <c r="BI308" s="244"/>
      <c r="BJ308" s="31">
        <f t="shared" si="156"/>
        <v>2000</v>
      </c>
      <c r="BK308" s="148">
        <f t="shared" si="159"/>
        <v>0</v>
      </c>
      <c r="BM308" s="147">
        <v>2000</v>
      </c>
      <c r="BN308" s="147">
        <v>2000</v>
      </c>
      <c r="BP308" s="259"/>
      <c r="BR308" s="147">
        <v>2000</v>
      </c>
      <c r="BS308" s="146">
        <v>2000</v>
      </c>
      <c r="BU308" s="146">
        <v>2000</v>
      </c>
      <c r="BV308" s="533">
        <v>-2000</v>
      </c>
      <c r="BW308" s="583">
        <f t="shared" si="157"/>
        <v>0</v>
      </c>
      <c r="BX308" s="584">
        <f t="shared" si="160"/>
        <v>-1</v>
      </c>
      <c r="BY308" s="599"/>
      <c r="BZ308" s="585">
        <v>0</v>
      </c>
      <c r="CA308" s="585">
        <v>0</v>
      </c>
      <c r="CB308" s="599"/>
      <c r="CC308" s="776" t="s">
        <v>1424</v>
      </c>
      <c r="CD308" s="599"/>
      <c r="CE308" s="585">
        <v>0</v>
      </c>
      <c r="CF308" s="585"/>
      <c r="CH308" s="816"/>
      <c r="CI308" s="816"/>
      <c r="CJ308" s="887"/>
      <c r="CO308" s="16"/>
    </row>
    <row r="309" spans="1:93" s="1" customFormat="1" x14ac:dyDescent="0.3">
      <c r="A309" s="23">
        <v>210</v>
      </c>
      <c r="B309" s="3"/>
      <c r="C309" s="342">
        <v>21002</v>
      </c>
      <c r="D309" s="341">
        <v>51920</v>
      </c>
      <c r="E309" s="343" t="s">
        <v>11</v>
      </c>
      <c r="F309" s="3"/>
      <c r="G309" s="287" t="s">
        <v>906</v>
      </c>
      <c r="H309" s="26"/>
      <c r="I309" s="246"/>
      <c r="J309" s="16"/>
      <c r="K309" s="122"/>
      <c r="M309" s="147"/>
      <c r="N309" s="147"/>
      <c r="P309" s="149"/>
      <c r="R309" s="146"/>
      <c r="S309" s="146"/>
      <c r="U309" s="146"/>
      <c r="V309" s="246">
        <v>15000</v>
      </c>
      <c r="W309" s="16"/>
      <c r="X309" s="122"/>
      <c r="Z309" s="147">
        <v>15000</v>
      </c>
      <c r="AA309" s="147">
        <v>15000</v>
      </c>
      <c r="AC309" s="221" t="s">
        <v>725</v>
      </c>
      <c r="AE309" s="146">
        <v>15000</v>
      </c>
      <c r="AF309" s="272">
        <v>17100</v>
      </c>
      <c r="AH309" s="146">
        <v>15000</v>
      </c>
      <c r="AI309" s="246">
        <v>7000</v>
      </c>
      <c r="AJ309" s="16">
        <f t="shared" si="158"/>
        <v>22000</v>
      </c>
      <c r="AK309" s="122">
        <f t="shared" si="152"/>
        <v>0.46666666666666667</v>
      </c>
      <c r="AM309" s="117">
        <v>22000</v>
      </c>
      <c r="AN309" s="117">
        <v>22000</v>
      </c>
      <c r="AP309" s="221" t="s">
        <v>847</v>
      </c>
      <c r="AR309" s="26">
        <v>22000</v>
      </c>
      <c r="AS309" s="26">
        <v>22580</v>
      </c>
      <c r="AU309" s="26">
        <f t="shared" si="153"/>
        <v>22000</v>
      </c>
      <c r="AV309" s="244">
        <v>-1100</v>
      </c>
      <c r="AW309" s="336">
        <f t="shared" si="154"/>
        <v>20900</v>
      </c>
      <c r="AX309" s="122">
        <f t="shared" si="155"/>
        <v>-0.05</v>
      </c>
      <c r="AZ309" s="117">
        <v>20900</v>
      </c>
      <c r="BA309" s="117">
        <v>20900</v>
      </c>
      <c r="BC309" s="259" t="s">
        <v>1031</v>
      </c>
      <c r="BE309" s="26">
        <v>20900</v>
      </c>
      <c r="BF309" s="26">
        <v>17800</v>
      </c>
      <c r="BH309" s="26">
        <v>20900</v>
      </c>
      <c r="BI309" s="244">
        <v>3300</v>
      </c>
      <c r="BJ309" s="16">
        <f t="shared" si="156"/>
        <v>24200</v>
      </c>
      <c r="BK309" s="122">
        <f t="shared" si="159"/>
        <v>0.15789473684210525</v>
      </c>
      <c r="BM309" s="117">
        <v>24200</v>
      </c>
      <c r="BN309" s="117">
        <v>24200</v>
      </c>
      <c r="BP309" s="259" t="s">
        <v>570</v>
      </c>
      <c r="BR309" s="117">
        <v>24200</v>
      </c>
      <c r="BS309" s="146">
        <v>20200</v>
      </c>
      <c r="BU309" s="26">
        <v>24200</v>
      </c>
      <c r="BV309" s="533">
        <v>-1400</v>
      </c>
      <c r="BW309" s="576">
        <f t="shared" si="157"/>
        <v>22800</v>
      </c>
      <c r="BX309" s="577">
        <f t="shared" si="160"/>
        <v>-5.7851239669421489E-2</v>
      </c>
      <c r="BY309" s="573"/>
      <c r="BZ309" s="166">
        <v>22800</v>
      </c>
      <c r="CA309" s="166">
        <v>22800</v>
      </c>
      <c r="CB309" s="573"/>
      <c r="CC309" s="776"/>
      <c r="CD309" s="573"/>
      <c r="CE309" s="166">
        <v>22800</v>
      </c>
      <c r="CF309" s="166"/>
      <c r="CH309" s="812"/>
      <c r="CI309" s="812"/>
      <c r="CJ309" s="887"/>
      <c r="CO309" s="16"/>
    </row>
    <row r="310" spans="1:93" s="1" customFormat="1" x14ac:dyDescent="0.3">
      <c r="A310" s="23">
        <v>210</v>
      </c>
      <c r="B310" s="3"/>
      <c r="C310" s="40">
        <v>21002</v>
      </c>
      <c r="D310" s="37">
        <v>51932</v>
      </c>
      <c r="E310" s="53" t="s">
        <v>11</v>
      </c>
      <c r="F310" s="3"/>
      <c r="G310" s="287" t="s">
        <v>918</v>
      </c>
      <c r="H310" s="26"/>
      <c r="I310" s="246"/>
      <c r="J310" s="16"/>
      <c r="K310" s="122"/>
      <c r="M310" s="147"/>
      <c r="N310" s="147"/>
      <c r="P310" s="149"/>
      <c r="R310" s="146"/>
      <c r="S310" s="146"/>
      <c r="U310" s="146"/>
      <c r="V310" s="246">
        <v>15000</v>
      </c>
      <c r="W310" s="16"/>
      <c r="X310" s="122"/>
      <c r="Z310" s="147">
        <v>15000</v>
      </c>
      <c r="AA310" s="147">
        <v>15000</v>
      </c>
      <c r="AC310" s="221" t="s">
        <v>725</v>
      </c>
      <c r="AE310" s="146"/>
      <c r="AF310" s="272">
        <v>400</v>
      </c>
      <c r="AH310" s="146"/>
      <c r="AI310" s="267"/>
      <c r="AJ310" s="16">
        <f>AH310+AI310</f>
        <v>0</v>
      </c>
      <c r="AK310" s="122" t="str">
        <f>IF(AH310=0," ",(AJ310-AH310)/AH310)</f>
        <v xml:space="preserve"> </v>
      </c>
      <c r="AM310" s="117"/>
      <c r="AN310" s="117"/>
      <c r="AP310" s="221"/>
      <c r="AR310" s="26"/>
      <c r="AS310" s="26"/>
      <c r="AU310" s="26">
        <f t="shared" si="153"/>
        <v>0</v>
      </c>
      <c r="AV310" s="244"/>
      <c r="AW310" s="16">
        <f>AU310+AV310</f>
        <v>0</v>
      </c>
      <c r="AX310" s="122" t="str">
        <f>IF(AU310=0," ",(AW310-AU310)/AU310)</f>
        <v xml:space="preserve"> </v>
      </c>
      <c r="AZ310" s="117"/>
      <c r="BA310" s="117"/>
      <c r="BC310" s="221"/>
      <c r="BE310" s="26"/>
      <c r="BF310" s="26"/>
      <c r="BH310" s="26"/>
      <c r="BI310" s="244"/>
      <c r="BJ310" s="16">
        <f>BH310+BI310</f>
        <v>0</v>
      </c>
      <c r="BK310" s="122" t="str">
        <f>IF(BH310=0," ",(BJ310-BH310)/BH310)</f>
        <v xml:space="preserve"> </v>
      </c>
      <c r="BM310" s="117">
        <v>0</v>
      </c>
      <c r="BN310" s="117">
        <v>0</v>
      </c>
      <c r="BP310" s="221"/>
      <c r="BR310" s="117">
        <v>0</v>
      </c>
      <c r="BS310" s="146"/>
      <c r="BU310" s="26">
        <v>0</v>
      </c>
      <c r="BV310" s="244"/>
      <c r="BW310" s="576">
        <f>BU310+BV310</f>
        <v>0</v>
      </c>
      <c r="BX310" s="577" t="str">
        <f>IF(BU310=0," ",(BW310-BU310)/BU310)</f>
        <v xml:space="preserve"> </v>
      </c>
      <c r="BY310" s="573"/>
      <c r="BZ310" s="166">
        <v>0</v>
      </c>
      <c r="CA310" s="166">
        <v>0</v>
      </c>
      <c r="CB310" s="573"/>
      <c r="CC310" s="777"/>
      <c r="CD310" s="573"/>
      <c r="CE310" s="166">
        <v>0</v>
      </c>
      <c r="CF310" s="166"/>
      <c r="CH310" s="812"/>
      <c r="CI310" s="812"/>
      <c r="CJ310" s="887"/>
      <c r="CO310" s="16"/>
    </row>
    <row r="311" spans="1:93" x14ac:dyDescent="0.3">
      <c r="A311" s="12"/>
      <c r="H311" s="145">
        <f>SUM(H292:H307)</f>
        <v>1276787</v>
      </c>
      <c r="I311" s="32">
        <f>SUM(I292:I307)</f>
        <v>-13159</v>
      </c>
      <c r="J311" s="32">
        <f>SUM(J292:J307)</f>
        <v>1263628</v>
      </c>
      <c r="K311" s="128">
        <f>IF(H311=0," ",(J311-H311)/H311)</f>
        <v>-1.0306339271938076E-2</v>
      </c>
      <c r="M311" s="32">
        <f>SUM(M292:M307)</f>
        <v>1263629</v>
      </c>
      <c r="N311" s="32">
        <f>SUM(N291:N307)</f>
        <v>1274887</v>
      </c>
      <c r="P311" s="141">
        <f>SUM(P292:P307)</f>
        <v>0</v>
      </c>
      <c r="R311" s="32">
        <f>SUM(R292:R307)</f>
        <v>1274887</v>
      </c>
      <c r="S311" s="32">
        <f>SUM(S291:S307)</f>
        <v>1236218.8900000001</v>
      </c>
      <c r="U311" s="32">
        <f>SUM(U292:U309)</f>
        <v>1274887</v>
      </c>
      <c r="V311" s="32">
        <f>SUM(V292:V309)</f>
        <v>45956</v>
      </c>
      <c r="W311" s="32">
        <f>SUM(W292:W309)</f>
        <v>1305843</v>
      </c>
      <c r="X311" s="128">
        <f>IF(U311=0," ",(W311-U311)/U311)</f>
        <v>2.4281367681998484E-2</v>
      </c>
      <c r="Z311" s="32">
        <f>SUM(Z292:Z309)</f>
        <v>1320843</v>
      </c>
      <c r="AA311" s="32">
        <f>SUM(AA292:AA309)</f>
        <v>1320848</v>
      </c>
      <c r="AC311" s="141"/>
      <c r="AE311" s="32">
        <f>SUM(AE291:AE310)</f>
        <v>1320848</v>
      </c>
      <c r="AF311" s="202">
        <f>SUM(AF291:AF310)</f>
        <v>1310978.2200000002</v>
      </c>
      <c r="AH311" s="32">
        <f>SUM(AH291:AH310)</f>
        <v>1320848</v>
      </c>
      <c r="AI311" s="32">
        <f>SUM(AI291:AI310)</f>
        <v>25361</v>
      </c>
      <c r="AJ311" s="32">
        <f>SUM(AJ291:AJ310)</f>
        <v>1346207</v>
      </c>
      <c r="AK311" s="128">
        <f>IF(AH311=0," ",(AJ311-AH311)/AH311)</f>
        <v>1.9199029714244184E-2</v>
      </c>
      <c r="AM311" s="32">
        <f>SUM(AM291:AM310)</f>
        <v>1318927</v>
      </c>
      <c r="AN311" s="32">
        <f>SUM(AN291:AN310)</f>
        <v>1318927</v>
      </c>
      <c r="AP311" s="141"/>
      <c r="AR311" s="32">
        <f>SUM(AR291:AR310)</f>
        <v>1318927</v>
      </c>
      <c r="AS311" s="274">
        <f>SUM(AS291:AS310)</f>
        <v>1095902.5200000003</v>
      </c>
      <c r="AU311" s="202">
        <f>SUM(AU291:AU310)</f>
        <v>1215950</v>
      </c>
      <c r="AV311" s="202">
        <f>SUM(AV291:AV310)</f>
        <v>111102</v>
      </c>
      <c r="AW311" s="202">
        <f>SUM(AW291:AW310)</f>
        <v>1327052</v>
      </c>
      <c r="AX311" s="128">
        <f>IF(AU311=0," ",(AW311-AU311)/AU311)</f>
        <v>9.1370533327850653E-2</v>
      </c>
      <c r="AZ311" s="202">
        <f>SUM(AZ291:AZ310)</f>
        <v>1298311</v>
      </c>
      <c r="BA311" s="202">
        <f>SUM(BA291:BA310)</f>
        <v>1319101</v>
      </c>
      <c r="BC311" s="141"/>
      <c r="BE311" s="274">
        <f>SUM(BE291:BE310)</f>
        <v>1319101</v>
      </c>
      <c r="BF311" s="274">
        <f>SUM(BF291:BF310)</f>
        <v>1069724.67</v>
      </c>
      <c r="BH311" s="274">
        <f>SUM(BH291:BH310)</f>
        <v>1319101</v>
      </c>
      <c r="BI311" s="202">
        <f>SUM(BI291:BI310)</f>
        <v>-9749</v>
      </c>
      <c r="BJ311" s="202">
        <f>SUM(BJ291:BJ310)</f>
        <v>1309352</v>
      </c>
      <c r="BK311" s="128">
        <f>IF(BH311=0," ",(BJ311-BH311)/BH311)</f>
        <v>-7.3906395340462934E-3</v>
      </c>
      <c r="BM311" s="274">
        <f>SUM(BM291:BM310)</f>
        <v>1309352</v>
      </c>
      <c r="BN311" s="274">
        <f>SUM(BN291:BN310)</f>
        <v>1311020</v>
      </c>
      <c r="BP311" s="141"/>
      <c r="BR311" s="274">
        <f>SUM(BR291:BR310)</f>
        <v>1311020</v>
      </c>
      <c r="BS311" s="274">
        <f>SUM(BS291:BS310)</f>
        <v>517944.7699999999</v>
      </c>
      <c r="BU311" s="274">
        <f>SUM(BU291:BU310)</f>
        <v>1311020</v>
      </c>
      <c r="BV311" s="202">
        <f>SUM(BV291:BV310)</f>
        <v>-10543</v>
      </c>
      <c r="BW311" s="600">
        <f>SUM(BW291:BW310)</f>
        <v>1300477</v>
      </c>
      <c r="BX311" s="596">
        <f>IF(BU311=0," ",(BW311-BU311)/BU311)</f>
        <v>-8.0418300254763465E-3</v>
      </c>
      <c r="BZ311" s="601">
        <f>SUM(BZ291:BZ310)</f>
        <v>1300477</v>
      </c>
      <c r="CA311" s="601">
        <f>SUM(CA291:CA310)</f>
        <v>1297492</v>
      </c>
      <c r="CC311" s="770"/>
      <c r="CE311" s="601">
        <f>SUM(CE291:CE310)</f>
        <v>1297492</v>
      </c>
      <c r="CF311" s="601">
        <f>SUM(CF291:CF310)</f>
        <v>0</v>
      </c>
      <c r="CO311" s="16"/>
    </row>
    <row r="312" spans="1:93" x14ac:dyDescent="0.3">
      <c r="AF312" s="16"/>
      <c r="AS312" s="16"/>
      <c r="BA312" s="300"/>
      <c r="BE312" s="397"/>
      <c r="BH312" s="397"/>
      <c r="BM312" s="397"/>
      <c r="BN312" s="397"/>
      <c r="BR312" s="397"/>
      <c r="BU312" s="397"/>
      <c r="BZ312" s="602"/>
      <c r="CA312" s="602"/>
      <c r="CE312" s="602"/>
      <c r="CF312" s="602"/>
      <c r="CO312" s="16"/>
    </row>
    <row r="313" spans="1:93" s="19" customFormat="1" x14ac:dyDescent="0.3">
      <c r="A313" s="27"/>
      <c r="B313" s="8"/>
      <c r="C313" s="42"/>
      <c r="D313" s="42"/>
      <c r="E313" s="54"/>
      <c r="F313" s="8"/>
      <c r="G313" s="8" t="s">
        <v>161</v>
      </c>
      <c r="H313" s="28">
        <f>H289+H311</f>
        <v>1392102</v>
      </c>
      <c r="I313" s="28">
        <f>I289+I311</f>
        <v>-12509</v>
      </c>
      <c r="J313" s="28">
        <f>J289+J311</f>
        <v>1379593</v>
      </c>
      <c r="K313" s="123">
        <f>IF(H313=0," ",(J313-H313)/H313)</f>
        <v>-8.9856921403747708E-3</v>
      </c>
      <c r="M313" s="28">
        <f>M289+M311</f>
        <v>1379594</v>
      </c>
      <c r="N313" s="28">
        <f>N289+N311</f>
        <v>1390852</v>
      </c>
      <c r="P313" s="139">
        <f>P289+P311</f>
        <v>0</v>
      </c>
      <c r="R313" s="28">
        <f>R289+R311</f>
        <v>1390852</v>
      </c>
      <c r="S313" s="28">
        <f>S289+S311</f>
        <v>1363538.9600000002</v>
      </c>
      <c r="U313" s="28">
        <f>U289+U311</f>
        <v>1390852</v>
      </c>
      <c r="V313" s="28">
        <f>V289+V311</f>
        <v>58141</v>
      </c>
      <c r="W313" s="28">
        <f>W289+W311</f>
        <v>1433993</v>
      </c>
      <c r="X313" s="123">
        <f>IF(U313=0," ",(W313-U313)/U313)</f>
        <v>3.1017678372680917E-2</v>
      </c>
      <c r="Z313" s="28">
        <f>Z289+Z311</f>
        <v>1448993</v>
      </c>
      <c r="AA313" s="28">
        <f>AA289+AA311</f>
        <v>1448998</v>
      </c>
      <c r="AC313" s="139"/>
      <c r="AE313" s="28">
        <f>AE289+AE311</f>
        <v>1448998</v>
      </c>
      <c r="AF313" s="201">
        <f>AF289+AF311</f>
        <v>1439128.2200000002</v>
      </c>
      <c r="AH313" s="28">
        <f>AH311+AH289</f>
        <v>1448998</v>
      </c>
      <c r="AI313" s="28">
        <f>AI311+AI289</f>
        <v>27911</v>
      </c>
      <c r="AJ313" s="28">
        <f>AJ311+AJ289</f>
        <v>1476907</v>
      </c>
      <c r="AK313" s="123">
        <f>IF(AH313=0," ",(AJ313-AH313)/AH313)</f>
        <v>1.9260896150305247E-2</v>
      </c>
      <c r="AM313" s="28">
        <f>AM289+AM311</f>
        <v>1449627</v>
      </c>
      <c r="AN313" s="28">
        <f>AN289+AN311</f>
        <v>1449627</v>
      </c>
      <c r="AP313" s="139"/>
      <c r="AR313" s="28">
        <f>AR289+AR311</f>
        <v>1449627</v>
      </c>
      <c r="AS313" s="28">
        <f>AS289+AS311</f>
        <v>1336865.8900000001</v>
      </c>
      <c r="AU313" s="28">
        <f>AU289+AU311</f>
        <v>1449627</v>
      </c>
      <c r="AV313" s="28">
        <f>AV311+AV289</f>
        <v>126525</v>
      </c>
      <c r="AW313" s="28">
        <f>AW311+AW289</f>
        <v>1576152</v>
      </c>
      <c r="AX313" s="123">
        <f>IF(AU313=0," ",(AW313-AU313)/AU313)</f>
        <v>8.7281072993259642E-2</v>
      </c>
      <c r="AZ313" s="28">
        <f>AZ289+AZ311</f>
        <v>1547411</v>
      </c>
      <c r="BA313" s="28">
        <f>BA289+BA311</f>
        <v>1563401</v>
      </c>
      <c r="BC313" s="139"/>
      <c r="BE313" s="28">
        <f>BE289+BE311</f>
        <v>1563401</v>
      </c>
      <c r="BF313" s="28">
        <f>BF289+BF311</f>
        <v>1312274.67</v>
      </c>
      <c r="BG313" s="9"/>
      <c r="BH313" s="28">
        <f>BH289+BH311</f>
        <v>1563401</v>
      </c>
      <c r="BI313" s="28">
        <f>BI311+BI289</f>
        <v>-4899</v>
      </c>
      <c r="BJ313" s="28">
        <f>BJ311+BJ289</f>
        <v>1558502</v>
      </c>
      <c r="BK313" s="123">
        <f>IF(BH313=0," ",(BJ313-BH313)/BH313)</f>
        <v>-3.1335530679588923E-3</v>
      </c>
      <c r="BM313" s="28">
        <f>BM289+BM311</f>
        <v>1558502</v>
      </c>
      <c r="BN313" s="28">
        <f>BN289+BN311</f>
        <v>1560170</v>
      </c>
      <c r="BP313" s="139"/>
      <c r="BR313" s="28">
        <f>BR289+BR311</f>
        <v>1560170</v>
      </c>
      <c r="BS313" s="28">
        <f>BS289+BS311</f>
        <v>581548.2699999999</v>
      </c>
      <c r="BT313" s="9"/>
      <c r="BU313" s="28">
        <f>BU289+BU311</f>
        <v>1560170</v>
      </c>
      <c r="BV313" s="532">
        <f>BV311+BV289</f>
        <v>-12543</v>
      </c>
      <c r="BW313" s="591">
        <f>BW311+BW289</f>
        <v>1547627</v>
      </c>
      <c r="BX313" s="579">
        <f>IF(BU313=0," ",(BW313-BU313)/BU313)</f>
        <v>-8.0395085150977135E-3</v>
      </c>
      <c r="BY313" s="580"/>
      <c r="BZ313" s="591">
        <f>BZ289+BZ311</f>
        <v>1547627</v>
      </c>
      <c r="CA313" s="591">
        <f>CA289+CA311</f>
        <v>1544642</v>
      </c>
      <c r="CB313" s="580"/>
      <c r="CC313" s="769"/>
      <c r="CD313" s="580"/>
      <c r="CE313" s="591">
        <f>CE289+CE311</f>
        <v>1544642</v>
      </c>
      <c r="CF313" s="591">
        <f>CF289+CF311</f>
        <v>0</v>
      </c>
      <c r="CG313" s="9"/>
      <c r="CH313" s="815"/>
      <c r="CI313" s="815"/>
      <c r="CJ313" s="887"/>
      <c r="CO313" s="16"/>
    </row>
    <row r="314" spans="1:93" s="9" customFormat="1" x14ac:dyDescent="0.3">
      <c r="A314" s="29"/>
      <c r="C314" s="43"/>
      <c r="D314" s="43"/>
      <c r="E314" s="46"/>
      <c r="H314" s="30"/>
      <c r="I314" s="30"/>
      <c r="J314" s="30"/>
      <c r="K314" s="126"/>
      <c r="M314" s="30"/>
      <c r="N314" s="30"/>
      <c r="P314" s="140"/>
      <c r="R314" s="30"/>
      <c r="S314" s="30"/>
      <c r="U314" s="30"/>
      <c r="V314" s="30"/>
      <c r="W314" s="30"/>
      <c r="X314" s="126"/>
      <c r="Z314" s="30"/>
      <c r="AA314" s="30"/>
      <c r="AC314" s="140"/>
      <c r="AE314" s="30"/>
      <c r="AF314" s="174"/>
      <c r="AH314" s="30"/>
      <c r="AI314" s="30"/>
      <c r="AJ314" s="30"/>
      <c r="AK314" s="126"/>
      <c r="AM314" s="30"/>
      <c r="AN314" s="30"/>
      <c r="AP314" s="140"/>
      <c r="AR314" s="30"/>
      <c r="AS314" s="30"/>
      <c r="AU314" s="30"/>
      <c r="AV314" s="30"/>
      <c r="AW314" s="30"/>
      <c r="AX314" s="126"/>
      <c r="AZ314" s="30"/>
      <c r="BA314" s="30"/>
      <c r="BC314" s="140"/>
      <c r="BE314" s="30"/>
      <c r="BF314" s="30"/>
      <c r="BH314" s="30"/>
      <c r="BI314" s="30"/>
      <c r="BJ314" s="30"/>
      <c r="BK314" s="126"/>
      <c r="BM314" s="30"/>
      <c r="BN314" s="30"/>
      <c r="BP314" s="140"/>
      <c r="BR314" s="30"/>
      <c r="BS314" s="30"/>
      <c r="BU314" s="30"/>
      <c r="BV314" s="26"/>
      <c r="BW314" s="305"/>
      <c r="BX314" s="593"/>
      <c r="BY314" s="603"/>
      <c r="BZ314" s="305"/>
      <c r="CA314" s="305"/>
      <c r="CB314" s="603"/>
      <c r="CC314" s="752"/>
      <c r="CD314" s="603"/>
      <c r="CE314" s="305"/>
      <c r="CF314" s="305"/>
      <c r="CH314" s="817"/>
      <c r="CI314" s="817"/>
      <c r="CJ314" s="887"/>
      <c r="CO314" s="16"/>
    </row>
    <row r="315" spans="1:93" x14ac:dyDescent="0.3">
      <c r="A315" s="11">
        <v>210</v>
      </c>
      <c r="B315" s="3" t="s">
        <v>2</v>
      </c>
      <c r="C315" s="37">
        <v>21005</v>
      </c>
      <c r="D315" s="37">
        <v>52100</v>
      </c>
      <c r="E315" s="49" t="s">
        <v>118</v>
      </c>
      <c r="F315" s="3" t="s">
        <v>2</v>
      </c>
      <c r="G315" s="3" t="s">
        <v>54</v>
      </c>
      <c r="H315" s="26">
        <v>15500</v>
      </c>
      <c r="I315" s="244"/>
      <c r="J315" s="16">
        <f t="shared" ref="J315:J349" si="161">H315+I315</f>
        <v>15500</v>
      </c>
      <c r="K315" s="122">
        <f t="shared" ref="K315:K349" si="162">IF(H315=0," ",(J315-H315)/H315)</f>
        <v>0</v>
      </c>
      <c r="M315" s="117">
        <v>15500</v>
      </c>
      <c r="N315" s="117">
        <v>15500</v>
      </c>
      <c r="P315" s="259" t="s">
        <v>573</v>
      </c>
      <c r="R315" s="26">
        <v>15500</v>
      </c>
      <c r="S315" s="26">
        <v>8200.4</v>
      </c>
      <c r="U315" s="26">
        <v>15500</v>
      </c>
      <c r="V315" s="244">
        <v>-2000</v>
      </c>
      <c r="W315" s="16">
        <f t="shared" ref="W315:W349" si="163">U315+V315</f>
        <v>13500</v>
      </c>
      <c r="X315" s="122">
        <f t="shared" ref="X315:X349" si="164">IF(U315=0," ",(W315-U315)/U315)</f>
        <v>-0.12903225806451613</v>
      </c>
      <c r="Z315" s="117">
        <v>13500</v>
      </c>
      <c r="AA315" s="117">
        <v>13500</v>
      </c>
      <c r="AC315" s="259"/>
      <c r="AE315" s="26">
        <v>13500</v>
      </c>
      <c r="AF315" s="200">
        <v>7431.51</v>
      </c>
      <c r="AH315" s="26">
        <v>13500</v>
      </c>
      <c r="AI315" s="244"/>
      <c r="AJ315" s="16">
        <f t="shared" ref="AJ315:AJ349" si="165">AH315+AI315</f>
        <v>13500</v>
      </c>
      <c r="AK315" s="122">
        <f t="shared" ref="AK315:AK349" si="166">IF(AH315=0," ",(AJ315-AH315)/AH315)</f>
        <v>0</v>
      </c>
      <c r="AM315" s="117">
        <v>13500</v>
      </c>
      <c r="AN315" s="117">
        <v>13500</v>
      </c>
      <c r="AP315" s="259"/>
      <c r="AR315" s="26">
        <v>13500</v>
      </c>
      <c r="AS315" s="26">
        <v>8276.57</v>
      </c>
      <c r="AU315" s="26">
        <f t="shared" ref="AU315:AU349" si="167">AR315</f>
        <v>13500</v>
      </c>
      <c r="AV315" s="248"/>
      <c r="AW315" s="16">
        <f t="shared" ref="AW315:AW349" si="168">AU315+AV315</f>
        <v>13500</v>
      </c>
      <c r="AX315" s="122">
        <f t="shared" ref="AX315:AX349" si="169">IF(AU315=0," ",(AW315-AU315)/AU315)</f>
        <v>0</v>
      </c>
      <c r="AZ315" s="117">
        <v>13500</v>
      </c>
      <c r="BA315" s="117">
        <v>13500</v>
      </c>
      <c r="BC315" s="259"/>
      <c r="BE315" s="26">
        <v>13500</v>
      </c>
      <c r="BF315" s="26">
        <v>10252.799999999999</v>
      </c>
      <c r="BH315" s="26">
        <v>13500</v>
      </c>
      <c r="BI315" s="248">
        <v>-4370</v>
      </c>
      <c r="BJ315" s="16">
        <f t="shared" ref="BJ315:BJ339" si="170">BH315+BI315</f>
        <v>9130</v>
      </c>
      <c r="BK315" s="122">
        <f t="shared" ref="BK315:BK339" si="171">IF(BH315=0," ",(BJ315-BH315)/BH315)</f>
        <v>-0.32370370370370372</v>
      </c>
      <c r="BM315" s="117">
        <v>9130</v>
      </c>
      <c r="BN315" s="117">
        <v>9130</v>
      </c>
      <c r="BP315" s="259"/>
      <c r="BR315" s="117">
        <v>9130</v>
      </c>
      <c r="BS315" s="26">
        <v>4683.79</v>
      </c>
      <c r="BU315" s="26">
        <v>9130</v>
      </c>
      <c r="BV315" s="535"/>
      <c r="BW315" s="576">
        <f t="shared" ref="BW315:BW339" si="172">BU315+BV315</f>
        <v>9130</v>
      </c>
      <c r="BX315" s="577">
        <f t="shared" ref="BX315:BX339" si="173">IF(BU315=0," ",(BW315-BU315)/BU315)</f>
        <v>0</v>
      </c>
      <c r="BZ315" s="166">
        <v>9130</v>
      </c>
      <c r="CA315" s="166">
        <v>9130</v>
      </c>
      <c r="CC315" s="753"/>
      <c r="CE315" s="166">
        <v>9130</v>
      </c>
      <c r="CF315" s="166"/>
      <c r="CO315" s="16"/>
    </row>
    <row r="316" spans="1:93" x14ac:dyDescent="0.3">
      <c r="A316" s="11">
        <v>210</v>
      </c>
      <c r="B316" s="3" t="s">
        <v>2</v>
      </c>
      <c r="C316" s="37">
        <v>21005</v>
      </c>
      <c r="D316" s="37">
        <v>52200</v>
      </c>
      <c r="E316" s="49" t="s">
        <v>118</v>
      </c>
      <c r="F316" s="3" t="s">
        <v>2</v>
      </c>
      <c r="G316" s="3" t="s">
        <v>919</v>
      </c>
      <c r="H316" s="26">
        <v>5712</v>
      </c>
      <c r="I316" s="244"/>
      <c r="J316" s="16">
        <f t="shared" si="161"/>
        <v>5712</v>
      </c>
      <c r="K316" s="122">
        <f t="shared" si="162"/>
        <v>0</v>
      </c>
      <c r="M316" s="117">
        <v>5712</v>
      </c>
      <c r="N316" s="117">
        <v>5712</v>
      </c>
      <c r="P316" s="259"/>
      <c r="R316" s="26">
        <v>5712</v>
      </c>
      <c r="S316" s="26">
        <v>5804.45</v>
      </c>
      <c r="U316" s="26">
        <v>5712</v>
      </c>
      <c r="V316" s="244">
        <v>0</v>
      </c>
      <c r="W316" s="16">
        <f t="shared" si="163"/>
        <v>5712</v>
      </c>
      <c r="X316" s="122">
        <f t="shared" si="164"/>
        <v>0</v>
      </c>
      <c r="Z316" s="117">
        <v>5712</v>
      </c>
      <c r="AA316" s="117">
        <v>5712</v>
      </c>
      <c r="AC316" s="259"/>
      <c r="AE316" s="26">
        <v>5712</v>
      </c>
      <c r="AF316" s="200">
        <v>5678.84</v>
      </c>
      <c r="AH316" s="26">
        <v>5712</v>
      </c>
      <c r="AI316" s="244"/>
      <c r="AJ316" s="16">
        <f t="shared" si="165"/>
        <v>5712</v>
      </c>
      <c r="AK316" s="122">
        <f t="shared" si="166"/>
        <v>0</v>
      </c>
      <c r="AM316" s="117">
        <v>5712</v>
      </c>
      <c r="AN316" s="117">
        <v>5712</v>
      </c>
      <c r="AP316" s="259"/>
      <c r="AR316" s="26">
        <v>5712</v>
      </c>
      <c r="AS316" s="26">
        <v>4746.55</v>
      </c>
      <c r="AU316" s="26">
        <f t="shared" si="167"/>
        <v>5712</v>
      </c>
      <c r="AV316" s="248"/>
      <c r="AW316" s="16">
        <f t="shared" si="168"/>
        <v>5712</v>
      </c>
      <c r="AX316" s="122">
        <f t="shared" si="169"/>
        <v>0</v>
      </c>
      <c r="AZ316" s="117">
        <v>5712</v>
      </c>
      <c r="BA316" s="117">
        <v>5712</v>
      </c>
      <c r="BC316" s="259"/>
      <c r="BE316" s="26">
        <v>5712</v>
      </c>
      <c r="BF316" s="26">
        <v>4291.5</v>
      </c>
      <c r="BH316" s="26">
        <v>5712</v>
      </c>
      <c r="BI316" s="248">
        <v>571</v>
      </c>
      <c r="BJ316" s="16">
        <f t="shared" si="170"/>
        <v>6283</v>
      </c>
      <c r="BK316" s="122">
        <f t="shared" si="171"/>
        <v>9.9964985994397765E-2</v>
      </c>
      <c r="BM316" s="117">
        <v>6283</v>
      </c>
      <c r="BN316" s="117">
        <v>6283</v>
      </c>
      <c r="BP316" s="259"/>
      <c r="BR316" s="117">
        <v>6283</v>
      </c>
      <c r="BS316" s="26">
        <v>601.01</v>
      </c>
      <c r="BU316" s="26">
        <v>6283</v>
      </c>
      <c r="BV316" s="535"/>
      <c r="BW316" s="576">
        <f t="shared" si="172"/>
        <v>6283</v>
      </c>
      <c r="BX316" s="577">
        <f t="shared" si="173"/>
        <v>0</v>
      </c>
      <c r="BZ316" s="166">
        <v>6283</v>
      </c>
      <c r="CA316" s="166">
        <v>6283</v>
      </c>
      <c r="CC316" s="753"/>
      <c r="CE316" s="166">
        <v>6283</v>
      </c>
      <c r="CF316" s="166"/>
      <c r="CO316" s="16"/>
    </row>
    <row r="317" spans="1:93" x14ac:dyDescent="0.3">
      <c r="A317" s="11">
        <v>210</v>
      </c>
      <c r="B317" s="3" t="s">
        <v>2</v>
      </c>
      <c r="C317" s="37">
        <v>21005</v>
      </c>
      <c r="D317" s="37">
        <v>52300</v>
      </c>
      <c r="E317" s="49" t="s">
        <v>118</v>
      </c>
      <c r="F317" s="3" t="s">
        <v>2</v>
      </c>
      <c r="G317" s="3" t="s">
        <v>55</v>
      </c>
      <c r="H317" s="26">
        <v>640</v>
      </c>
      <c r="I317" s="244">
        <v>100</v>
      </c>
      <c r="J317" s="16">
        <f t="shared" si="161"/>
        <v>740</v>
      </c>
      <c r="K317" s="122">
        <f t="shared" si="162"/>
        <v>0.15625</v>
      </c>
      <c r="M317" s="117">
        <v>740</v>
      </c>
      <c r="N317" s="117">
        <v>740</v>
      </c>
      <c r="P317" s="259" t="s">
        <v>574</v>
      </c>
      <c r="R317" s="26">
        <v>740</v>
      </c>
      <c r="S317" s="26">
        <v>722.44</v>
      </c>
      <c r="U317" s="26">
        <v>740</v>
      </c>
      <c r="V317" s="244">
        <v>260</v>
      </c>
      <c r="W317" s="16">
        <f t="shared" si="163"/>
        <v>1000</v>
      </c>
      <c r="X317" s="122">
        <f t="shared" si="164"/>
        <v>0.35135135135135137</v>
      </c>
      <c r="Z317" s="117">
        <v>1000</v>
      </c>
      <c r="AA317" s="117">
        <v>1000</v>
      </c>
      <c r="AC317" s="259"/>
      <c r="AE317" s="26">
        <v>1000</v>
      </c>
      <c r="AF317" s="200">
        <v>563.17999999999995</v>
      </c>
      <c r="AH317" s="26">
        <v>1000</v>
      </c>
      <c r="AI317" s="244"/>
      <c r="AJ317" s="16">
        <f t="shared" si="165"/>
        <v>1000</v>
      </c>
      <c r="AK317" s="122">
        <f t="shared" si="166"/>
        <v>0</v>
      </c>
      <c r="AM317" s="117">
        <v>1000</v>
      </c>
      <c r="AN317" s="117">
        <v>1000</v>
      </c>
      <c r="AP317" s="259"/>
      <c r="AR317" s="26">
        <v>1000</v>
      </c>
      <c r="AS317" s="26">
        <v>590.82000000000005</v>
      </c>
      <c r="AU317" s="26">
        <f t="shared" si="167"/>
        <v>1000</v>
      </c>
      <c r="AV317" s="248"/>
      <c r="AW317" s="16">
        <f t="shared" si="168"/>
        <v>1000</v>
      </c>
      <c r="AX317" s="122">
        <f t="shared" si="169"/>
        <v>0</v>
      </c>
      <c r="AZ317" s="117">
        <v>1000</v>
      </c>
      <c r="BA317" s="117">
        <v>1000</v>
      </c>
      <c r="BC317" s="259"/>
      <c r="BE317" s="26">
        <v>1000</v>
      </c>
      <c r="BF317" s="26">
        <v>560.20000000000005</v>
      </c>
      <c r="BH317" s="26">
        <v>1000</v>
      </c>
      <c r="BI317" s="248">
        <v>-312</v>
      </c>
      <c r="BJ317" s="16">
        <f t="shared" si="170"/>
        <v>688</v>
      </c>
      <c r="BK317" s="122">
        <f t="shared" si="171"/>
        <v>-0.312</v>
      </c>
      <c r="BM317" s="117">
        <v>688</v>
      </c>
      <c r="BN317" s="117">
        <v>688</v>
      </c>
      <c r="BP317" s="259"/>
      <c r="BR317" s="117">
        <v>688</v>
      </c>
      <c r="BS317" s="26">
        <v>240.3</v>
      </c>
      <c r="BU317" s="26">
        <v>688</v>
      </c>
      <c r="BV317" s="535"/>
      <c r="BW317" s="576">
        <f t="shared" si="172"/>
        <v>688</v>
      </c>
      <c r="BX317" s="577">
        <f t="shared" si="173"/>
        <v>0</v>
      </c>
      <c r="BZ317" s="166">
        <v>688</v>
      </c>
      <c r="CA317" s="166">
        <v>688</v>
      </c>
      <c r="CC317" s="753"/>
      <c r="CE317" s="166">
        <v>688</v>
      </c>
      <c r="CF317" s="166"/>
      <c r="CO317" s="16"/>
    </row>
    <row r="318" spans="1:93" x14ac:dyDescent="0.3">
      <c r="A318" s="11">
        <v>210</v>
      </c>
      <c r="B318" s="3" t="s">
        <v>2</v>
      </c>
      <c r="C318" s="37">
        <v>21005</v>
      </c>
      <c r="D318" s="37">
        <v>52400</v>
      </c>
      <c r="E318" s="49" t="s">
        <v>118</v>
      </c>
      <c r="F318" s="3" t="s">
        <v>2</v>
      </c>
      <c r="G318" s="3" t="s">
        <v>56</v>
      </c>
      <c r="H318" s="26">
        <v>15100</v>
      </c>
      <c r="I318" s="244"/>
      <c r="J318" s="16">
        <f t="shared" si="161"/>
        <v>15100</v>
      </c>
      <c r="K318" s="122">
        <f t="shared" si="162"/>
        <v>0</v>
      </c>
      <c r="M318" s="117">
        <v>15100</v>
      </c>
      <c r="N318" s="117">
        <v>15100</v>
      </c>
      <c r="P318" s="259"/>
      <c r="R318" s="26">
        <v>15100</v>
      </c>
      <c r="S318" s="26">
        <v>19512.650000000001</v>
      </c>
      <c r="U318" s="26">
        <v>15100</v>
      </c>
      <c r="V318" s="244">
        <v>0</v>
      </c>
      <c r="W318" s="16">
        <f t="shared" si="163"/>
        <v>15100</v>
      </c>
      <c r="X318" s="122">
        <f t="shared" si="164"/>
        <v>0</v>
      </c>
      <c r="Z318" s="117">
        <v>15100</v>
      </c>
      <c r="AA318" s="117">
        <v>15100</v>
      </c>
      <c r="AC318" s="259"/>
      <c r="AE318" s="26">
        <v>15100</v>
      </c>
      <c r="AF318" s="200">
        <v>19600.169999999998</v>
      </c>
      <c r="AH318" s="26">
        <v>15100</v>
      </c>
      <c r="AI318" s="244"/>
      <c r="AJ318" s="16">
        <f t="shared" si="165"/>
        <v>15100</v>
      </c>
      <c r="AK318" s="122">
        <f t="shared" si="166"/>
        <v>0</v>
      </c>
      <c r="AM318" s="117">
        <v>15100</v>
      </c>
      <c r="AN318" s="117">
        <v>15100</v>
      </c>
      <c r="AP318" s="259"/>
      <c r="AR318" s="26">
        <v>15100</v>
      </c>
      <c r="AS318" s="26">
        <v>16657.990000000002</v>
      </c>
      <c r="AU318" s="26">
        <f t="shared" si="167"/>
        <v>15100</v>
      </c>
      <c r="AV318" s="248"/>
      <c r="AW318" s="16">
        <f t="shared" si="168"/>
        <v>15100</v>
      </c>
      <c r="AX318" s="122">
        <f t="shared" si="169"/>
        <v>0</v>
      </c>
      <c r="AZ318" s="117">
        <v>15100</v>
      </c>
      <c r="BA318" s="117">
        <f>15100+1238</f>
        <v>16338</v>
      </c>
      <c r="BC318" s="266" t="s">
        <v>984</v>
      </c>
      <c r="BE318" s="26">
        <f>15100+1238</f>
        <v>16338</v>
      </c>
      <c r="BF318" s="26">
        <v>17967.14</v>
      </c>
      <c r="BH318" s="26">
        <f>15100+1238</f>
        <v>16338</v>
      </c>
      <c r="BI318" s="248">
        <v>2855</v>
      </c>
      <c r="BJ318" s="16">
        <f t="shared" si="170"/>
        <v>19193</v>
      </c>
      <c r="BK318" s="122">
        <f t="shared" si="171"/>
        <v>0.1747459909413637</v>
      </c>
      <c r="BM318" s="117">
        <v>19193</v>
      </c>
      <c r="BN318" s="117">
        <v>19193</v>
      </c>
      <c r="BP318" s="259"/>
      <c r="BR318" s="117">
        <v>19193</v>
      </c>
      <c r="BS318" s="26">
        <v>6602</v>
      </c>
      <c r="BU318" s="26">
        <v>19193</v>
      </c>
      <c r="BV318" s="535"/>
      <c r="BW318" s="576">
        <f t="shared" si="172"/>
        <v>19193</v>
      </c>
      <c r="BX318" s="577">
        <f t="shared" si="173"/>
        <v>0</v>
      </c>
      <c r="BZ318" s="166">
        <v>19193</v>
      </c>
      <c r="CA318" s="166">
        <v>19193</v>
      </c>
      <c r="CC318" s="753"/>
      <c r="CE318" s="166">
        <v>19193</v>
      </c>
      <c r="CF318" s="166"/>
      <c r="CO318" s="16"/>
    </row>
    <row r="319" spans="1:93" x14ac:dyDescent="0.3">
      <c r="A319" s="11">
        <v>210</v>
      </c>
      <c r="B319" s="3" t="s">
        <v>2</v>
      </c>
      <c r="C319" s="37">
        <v>21005</v>
      </c>
      <c r="D319" s="37">
        <v>52410</v>
      </c>
      <c r="E319" s="49" t="s">
        <v>118</v>
      </c>
      <c r="F319" s="3" t="s">
        <v>2</v>
      </c>
      <c r="G319" s="3" t="s">
        <v>1453</v>
      </c>
      <c r="H319" s="26">
        <v>2000</v>
      </c>
      <c r="I319" s="244"/>
      <c r="J319" s="16">
        <f t="shared" si="161"/>
        <v>2000</v>
      </c>
      <c r="K319" s="122">
        <f t="shared" si="162"/>
        <v>0</v>
      </c>
      <c r="M319" s="117">
        <v>2000</v>
      </c>
      <c r="N319" s="117">
        <v>2000</v>
      </c>
      <c r="P319" s="259"/>
      <c r="R319" s="26">
        <v>2000</v>
      </c>
      <c r="S319" s="26">
        <v>0</v>
      </c>
      <c r="U319" s="26">
        <v>2000</v>
      </c>
      <c r="V319" s="244">
        <v>0</v>
      </c>
      <c r="W319" s="16">
        <f t="shared" si="163"/>
        <v>2000</v>
      </c>
      <c r="X319" s="122">
        <f t="shared" si="164"/>
        <v>0</v>
      </c>
      <c r="Z319" s="117">
        <v>2000</v>
      </c>
      <c r="AA319" s="117">
        <v>2000</v>
      </c>
      <c r="AC319" s="259"/>
      <c r="AE319" s="26">
        <v>2000</v>
      </c>
      <c r="AF319" s="200">
        <v>0</v>
      </c>
      <c r="AH319" s="26">
        <v>2000</v>
      </c>
      <c r="AI319" s="244"/>
      <c r="AJ319" s="16">
        <f t="shared" si="165"/>
        <v>2000</v>
      </c>
      <c r="AK319" s="122">
        <f t="shared" si="166"/>
        <v>0</v>
      </c>
      <c r="AM319" s="117">
        <v>2000</v>
      </c>
      <c r="AN319" s="117">
        <v>2000</v>
      </c>
      <c r="AP319" s="259"/>
      <c r="AR319" s="26">
        <v>2000</v>
      </c>
      <c r="AS319" s="26">
        <v>2830.08</v>
      </c>
      <c r="AU319" s="26">
        <f t="shared" si="167"/>
        <v>2000</v>
      </c>
      <c r="AV319" s="248"/>
      <c r="AW319" s="16">
        <f t="shared" si="168"/>
        <v>2000</v>
      </c>
      <c r="AX319" s="122">
        <f t="shared" si="169"/>
        <v>0</v>
      </c>
      <c r="AZ319" s="117">
        <v>2000</v>
      </c>
      <c r="BA319" s="117">
        <v>2000</v>
      </c>
      <c r="BC319" s="259"/>
      <c r="BE319" s="26">
        <v>2000</v>
      </c>
      <c r="BF319" s="26"/>
      <c r="BH319" s="26">
        <v>2000</v>
      </c>
      <c r="BI319" s="248">
        <v>-2000</v>
      </c>
      <c r="BJ319" s="16">
        <f t="shared" si="170"/>
        <v>0</v>
      </c>
      <c r="BK319" s="122">
        <f t="shared" si="171"/>
        <v>-1</v>
      </c>
      <c r="BM319" s="117">
        <v>0</v>
      </c>
      <c r="BN319" s="117">
        <v>0</v>
      </c>
      <c r="BP319" s="259"/>
      <c r="BR319" s="117">
        <v>0</v>
      </c>
      <c r="BS319" s="26"/>
      <c r="BU319" s="26">
        <v>0</v>
      </c>
      <c r="BV319" s="535"/>
      <c r="BW319" s="576">
        <f t="shared" si="172"/>
        <v>0</v>
      </c>
      <c r="BX319" s="577" t="str">
        <f t="shared" si="173"/>
        <v xml:space="preserve"> </v>
      </c>
      <c r="BZ319" s="166">
        <v>0</v>
      </c>
      <c r="CA319" s="166">
        <v>0</v>
      </c>
      <c r="CC319" s="753"/>
      <c r="CE319" s="166">
        <v>0</v>
      </c>
      <c r="CF319" s="166"/>
      <c r="CO319" s="16"/>
    </row>
    <row r="320" spans="1:93" x14ac:dyDescent="0.3">
      <c r="A320" s="11">
        <v>210</v>
      </c>
      <c r="B320" s="3" t="s">
        <v>2</v>
      </c>
      <c r="C320" s="37">
        <v>21005</v>
      </c>
      <c r="D320" s="37">
        <v>52450</v>
      </c>
      <c r="E320" s="49" t="s">
        <v>118</v>
      </c>
      <c r="F320" s="3" t="s">
        <v>2</v>
      </c>
      <c r="G320" s="3" t="s">
        <v>85</v>
      </c>
      <c r="H320" s="26">
        <v>14500</v>
      </c>
      <c r="I320" s="244"/>
      <c r="J320" s="16">
        <f t="shared" si="161"/>
        <v>14500</v>
      </c>
      <c r="K320" s="122">
        <f t="shared" si="162"/>
        <v>0</v>
      </c>
      <c r="M320" s="117">
        <v>14500</v>
      </c>
      <c r="N320" s="117">
        <v>14500</v>
      </c>
      <c r="P320" s="259"/>
      <c r="R320" s="26">
        <v>14500</v>
      </c>
      <c r="S320" s="26">
        <v>6569.82</v>
      </c>
      <c r="U320" s="26">
        <v>14500</v>
      </c>
      <c r="V320" s="244">
        <v>0</v>
      </c>
      <c r="W320" s="16">
        <f t="shared" si="163"/>
        <v>14500</v>
      </c>
      <c r="X320" s="122">
        <f t="shared" si="164"/>
        <v>0</v>
      </c>
      <c r="Z320" s="117">
        <v>14500</v>
      </c>
      <c r="AA320" s="117">
        <v>14500</v>
      </c>
      <c r="AC320" s="259"/>
      <c r="AE320" s="26">
        <v>14500</v>
      </c>
      <c r="AF320" s="200">
        <v>9056.76</v>
      </c>
      <c r="AH320" s="26">
        <v>14500</v>
      </c>
      <c r="AI320" s="244"/>
      <c r="AJ320" s="16">
        <f t="shared" si="165"/>
        <v>14500</v>
      </c>
      <c r="AK320" s="122">
        <f t="shared" si="166"/>
        <v>0</v>
      </c>
      <c r="AM320" s="117">
        <v>14500</v>
      </c>
      <c r="AN320" s="117">
        <v>14500</v>
      </c>
      <c r="AP320" s="259"/>
      <c r="AR320" s="26">
        <v>14500</v>
      </c>
      <c r="AS320" s="26">
        <v>14192.63</v>
      </c>
      <c r="AU320" s="26">
        <f t="shared" si="167"/>
        <v>14500</v>
      </c>
      <c r="AV320" s="248"/>
      <c r="AW320" s="16">
        <f t="shared" si="168"/>
        <v>14500</v>
      </c>
      <c r="AX320" s="122">
        <f t="shared" si="169"/>
        <v>0</v>
      </c>
      <c r="AZ320" s="117">
        <v>14500</v>
      </c>
      <c r="BA320" s="117">
        <v>14500</v>
      </c>
      <c r="BC320" s="259"/>
      <c r="BE320" s="26">
        <v>14500</v>
      </c>
      <c r="BF320" s="26">
        <v>13257.67</v>
      </c>
      <c r="BH320" s="26">
        <v>14500</v>
      </c>
      <c r="BI320" s="248">
        <v>-1380</v>
      </c>
      <c r="BJ320" s="16">
        <f t="shared" si="170"/>
        <v>13120</v>
      </c>
      <c r="BK320" s="122">
        <f t="shared" si="171"/>
        <v>-9.5172413793103441E-2</v>
      </c>
      <c r="BM320" s="117">
        <v>13120</v>
      </c>
      <c r="BN320" s="117">
        <v>13120</v>
      </c>
      <c r="BP320" s="259"/>
      <c r="BR320" s="117">
        <v>13120</v>
      </c>
      <c r="BS320" s="26">
        <v>3497.22</v>
      </c>
      <c r="BU320" s="26">
        <v>13120</v>
      </c>
      <c r="BV320" s="535"/>
      <c r="BW320" s="576">
        <f t="shared" si="172"/>
        <v>13120</v>
      </c>
      <c r="BX320" s="577">
        <f t="shared" si="173"/>
        <v>0</v>
      </c>
      <c r="BZ320" s="166">
        <v>13120</v>
      </c>
      <c r="CA320" s="166">
        <v>13120</v>
      </c>
      <c r="CC320" s="753"/>
      <c r="CE320" s="166">
        <v>13120</v>
      </c>
      <c r="CF320" s="166"/>
      <c r="CO320" s="16"/>
    </row>
    <row r="321" spans="1:93" x14ac:dyDescent="0.3">
      <c r="A321" s="11">
        <v>210</v>
      </c>
      <c r="B321" s="3" t="s">
        <v>2</v>
      </c>
      <c r="C321" s="37">
        <v>21005</v>
      </c>
      <c r="D321" s="37">
        <v>52500</v>
      </c>
      <c r="E321" s="49" t="s">
        <v>118</v>
      </c>
      <c r="F321" s="3" t="s">
        <v>2</v>
      </c>
      <c r="G321" s="3" t="s">
        <v>1454</v>
      </c>
      <c r="H321" s="26">
        <v>2060</v>
      </c>
      <c r="I321" s="244"/>
      <c r="J321" s="16">
        <f t="shared" si="161"/>
        <v>2060</v>
      </c>
      <c r="K321" s="122">
        <f t="shared" si="162"/>
        <v>0</v>
      </c>
      <c r="M321" s="117">
        <v>2060</v>
      </c>
      <c r="N321" s="117">
        <v>2060</v>
      </c>
      <c r="P321" s="259" t="s">
        <v>574</v>
      </c>
      <c r="R321" s="26">
        <v>2060</v>
      </c>
      <c r="S321" s="26">
        <v>2027.2</v>
      </c>
      <c r="U321" s="26">
        <v>2060</v>
      </c>
      <c r="V321" s="244">
        <v>0</v>
      </c>
      <c r="W321" s="16">
        <f t="shared" si="163"/>
        <v>2060</v>
      </c>
      <c r="X321" s="122">
        <f t="shared" si="164"/>
        <v>0</v>
      </c>
      <c r="Z321" s="117">
        <v>2060</v>
      </c>
      <c r="AA321" s="117">
        <v>2060</v>
      </c>
      <c r="AC321" s="259"/>
      <c r="AE321" s="26">
        <v>2060</v>
      </c>
      <c r="AF321" s="200">
        <v>838.95</v>
      </c>
      <c r="AH321" s="26">
        <v>2060</v>
      </c>
      <c r="AI321" s="244"/>
      <c r="AJ321" s="16">
        <f t="shared" si="165"/>
        <v>2060</v>
      </c>
      <c r="AK321" s="122">
        <f t="shared" si="166"/>
        <v>0</v>
      </c>
      <c r="AM321" s="117">
        <v>2060</v>
      </c>
      <c r="AN321" s="117">
        <v>2060</v>
      </c>
      <c r="AP321" s="266"/>
      <c r="AR321" s="26">
        <v>2060</v>
      </c>
      <c r="AS321" s="26">
        <v>1601.25</v>
      </c>
      <c r="AU321" s="26">
        <f t="shared" si="167"/>
        <v>2060</v>
      </c>
      <c r="AV321" s="248"/>
      <c r="AW321" s="16">
        <f t="shared" si="168"/>
        <v>2060</v>
      </c>
      <c r="AX321" s="122">
        <f t="shared" si="169"/>
        <v>0</v>
      </c>
      <c r="AZ321" s="117">
        <v>2060</v>
      </c>
      <c r="BA321" s="117">
        <v>2060</v>
      </c>
      <c r="BC321" s="266"/>
      <c r="BE321" s="26">
        <v>2060</v>
      </c>
      <c r="BF321" s="26"/>
      <c r="BH321" s="26">
        <v>2060</v>
      </c>
      <c r="BI321" s="248">
        <v>-2060</v>
      </c>
      <c r="BJ321" s="16">
        <f t="shared" si="170"/>
        <v>0</v>
      </c>
      <c r="BK321" s="122">
        <f t="shared" si="171"/>
        <v>-1</v>
      </c>
      <c r="BM321" s="117">
        <v>0</v>
      </c>
      <c r="BN321" s="117">
        <v>0</v>
      </c>
      <c r="BP321" s="259"/>
      <c r="BR321" s="117">
        <v>0</v>
      </c>
      <c r="BS321" s="26"/>
      <c r="BU321" s="26">
        <v>0</v>
      </c>
      <c r="BV321" s="535"/>
      <c r="BW321" s="576">
        <f t="shared" si="172"/>
        <v>0</v>
      </c>
      <c r="BX321" s="577" t="str">
        <f t="shared" si="173"/>
        <v xml:space="preserve"> </v>
      </c>
      <c r="BZ321" s="166">
        <v>0</v>
      </c>
      <c r="CA321" s="166">
        <v>0</v>
      </c>
      <c r="CC321" s="753"/>
      <c r="CE321" s="166">
        <v>0</v>
      </c>
      <c r="CF321" s="166"/>
      <c r="CO321" s="16"/>
    </row>
    <row r="322" spans="1:93" x14ac:dyDescent="0.3">
      <c r="A322" s="11">
        <v>210</v>
      </c>
      <c r="B322" s="3" t="s">
        <v>2</v>
      </c>
      <c r="C322" s="37">
        <v>21005</v>
      </c>
      <c r="D322" s="37">
        <v>52520</v>
      </c>
      <c r="E322" s="49" t="s">
        <v>118</v>
      </c>
      <c r="F322" s="3" t="s">
        <v>2</v>
      </c>
      <c r="G322" s="3" t="s">
        <v>1466</v>
      </c>
      <c r="H322" s="26">
        <v>1800</v>
      </c>
      <c r="I322" s="244"/>
      <c r="J322" s="16">
        <f t="shared" si="161"/>
        <v>1800</v>
      </c>
      <c r="K322" s="122">
        <f t="shared" si="162"/>
        <v>0</v>
      </c>
      <c r="M322" s="117">
        <v>1800</v>
      </c>
      <c r="N322" s="117">
        <v>1800</v>
      </c>
      <c r="P322" s="259"/>
      <c r="R322" s="26">
        <v>1800</v>
      </c>
      <c r="S322" s="26">
        <v>1778</v>
      </c>
      <c r="U322" s="26">
        <v>1800</v>
      </c>
      <c r="V322" s="244">
        <v>0</v>
      </c>
      <c r="W322" s="16">
        <f t="shared" si="163"/>
        <v>1800</v>
      </c>
      <c r="X322" s="122">
        <f t="shared" si="164"/>
        <v>0</v>
      </c>
      <c r="Z322" s="117">
        <v>1800</v>
      </c>
      <c r="AA322" s="117">
        <v>1800</v>
      </c>
      <c r="AC322" s="259"/>
      <c r="AE322" s="26">
        <v>1800</v>
      </c>
      <c r="AF322" s="200">
        <v>455</v>
      </c>
      <c r="AH322" s="26">
        <v>1800</v>
      </c>
      <c r="AI322" s="244"/>
      <c r="AJ322" s="16">
        <f t="shared" si="165"/>
        <v>1800</v>
      </c>
      <c r="AK322" s="122">
        <f t="shared" si="166"/>
        <v>0</v>
      </c>
      <c r="AM322" s="117">
        <v>1800</v>
      </c>
      <c r="AN322" s="117">
        <v>1800</v>
      </c>
      <c r="AP322" s="259"/>
      <c r="AR322" s="26">
        <v>1800</v>
      </c>
      <c r="AS322" s="26">
        <v>908.04</v>
      </c>
      <c r="AU322" s="26">
        <f t="shared" si="167"/>
        <v>1800</v>
      </c>
      <c r="AV322" s="248"/>
      <c r="AW322" s="16">
        <f t="shared" si="168"/>
        <v>1800</v>
      </c>
      <c r="AX322" s="122">
        <f t="shared" si="169"/>
        <v>0</v>
      </c>
      <c r="AZ322" s="117">
        <v>1800</v>
      </c>
      <c r="BA322" s="117">
        <v>1800</v>
      </c>
      <c r="BC322" s="259"/>
      <c r="BE322" s="26">
        <v>1800</v>
      </c>
      <c r="BF322" s="26">
        <v>327.92</v>
      </c>
      <c r="BH322" s="26">
        <v>1800</v>
      </c>
      <c r="BI322" s="248">
        <v>-1800</v>
      </c>
      <c r="BJ322" s="16">
        <f t="shared" si="170"/>
        <v>0</v>
      </c>
      <c r="BK322" s="122">
        <f t="shared" si="171"/>
        <v>-1</v>
      </c>
      <c r="BM322" s="117">
        <v>0</v>
      </c>
      <c r="BN322" s="117">
        <v>0</v>
      </c>
      <c r="BP322" s="259"/>
      <c r="BR322" s="117">
        <v>0</v>
      </c>
      <c r="BS322" s="26">
        <v>490</v>
      </c>
      <c r="BU322" s="26">
        <v>0</v>
      </c>
      <c r="BV322" s="535"/>
      <c r="BW322" s="576">
        <f t="shared" si="172"/>
        <v>0</v>
      </c>
      <c r="BX322" s="577" t="str">
        <f t="shared" si="173"/>
        <v xml:space="preserve"> </v>
      </c>
      <c r="BZ322" s="166">
        <v>0</v>
      </c>
      <c r="CA322" s="166">
        <v>0</v>
      </c>
      <c r="CC322" s="753"/>
      <c r="CE322" s="166">
        <v>0</v>
      </c>
      <c r="CF322" s="166"/>
      <c r="CO322" s="16"/>
    </row>
    <row r="323" spans="1:93" x14ac:dyDescent="0.3">
      <c r="A323" s="11">
        <v>210</v>
      </c>
      <c r="B323" s="3" t="s">
        <v>2</v>
      </c>
      <c r="C323" s="37">
        <v>21005</v>
      </c>
      <c r="D323" s="37">
        <v>52530</v>
      </c>
      <c r="E323" s="49" t="s">
        <v>118</v>
      </c>
      <c r="F323" s="3" t="s">
        <v>2</v>
      </c>
      <c r="G323" s="3" t="s">
        <v>1455</v>
      </c>
      <c r="H323" s="26">
        <v>1000</v>
      </c>
      <c r="I323" s="244"/>
      <c r="J323" s="16">
        <f t="shared" si="161"/>
        <v>1000</v>
      </c>
      <c r="K323" s="122">
        <f t="shared" si="162"/>
        <v>0</v>
      </c>
      <c r="M323" s="117">
        <v>1000</v>
      </c>
      <c r="N323" s="117">
        <v>1000</v>
      </c>
      <c r="P323" s="259"/>
      <c r="R323" s="26">
        <v>1000</v>
      </c>
      <c r="S323" s="26">
        <v>0</v>
      </c>
      <c r="U323" s="26">
        <v>1000</v>
      </c>
      <c r="V323" s="244">
        <v>0</v>
      </c>
      <c r="W323" s="16">
        <f t="shared" si="163"/>
        <v>1000</v>
      </c>
      <c r="X323" s="122">
        <f t="shared" si="164"/>
        <v>0</v>
      </c>
      <c r="Z323" s="117">
        <v>1000</v>
      </c>
      <c r="AA323" s="117">
        <v>1000</v>
      </c>
      <c r="AC323" s="259"/>
      <c r="AE323" s="26">
        <v>1000</v>
      </c>
      <c r="AF323" s="200">
        <v>816</v>
      </c>
      <c r="AH323" s="26">
        <v>1000</v>
      </c>
      <c r="AI323" s="244"/>
      <c r="AJ323" s="16">
        <f t="shared" si="165"/>
        <v>1000</v>
      </c>
      <c r="AK323" s="122">
        <f t="shared" si="166"/>
        <v>0</v>
      </c>
      <c r="AM323" s="117">
        <v>1000</v>
      </c>
      <c r="AN323" s="117">
        <v>1000</v>
      </c>
      <c r="AP323" s="259"/>
      <c r="AR323" s="26">
        <v>1000</v>
      </c>
      <c r="AS323" s="26">
        <v>0</v>
      </c>
      <c r="AU323" s="26">
        <f t="shared" si="167"/>
        <v>1000</v>
      </c>
      <c r="AV323" s="248"/>
      <c r="AW323" s="16">
        <f t="shared" si="168"/>
        <v>1000</v>
      </c>
      <c r="AX323" s="122">
        <f t="shared" si="169"/>
        <v>0</v>
      </c>
      <c r="AZ323" s="117">
        <v>1000</v>
      </c>
      <c r="BA323" s="117">
        <v>1000</v>
      </c>
      <c r="BC323" s="259"/>
      <c r="BE323" s="26">
        <v>1000</v>
      </c>
      <c r="BF323" s="26">
        <v>626.5</v>
      </c>
      <c r="BH323" s="26">
        <v>1000</v>
      </c>
      <c r="BI323" s="248">
        <v>-1000</v>
      </c>
      <c r="BJ323" s="16">
        <f t="shared" si="170"/>
        <v>0</v>
      </c>
      <c r="BK323" s="122">
        <f t="shared" si="171"/>
        <v>-1</v>
      </c>
      <c r="BM323" s="117">
        <v>0</v>
      </c>
      <c r="BN323" s="117">
        <v>0</v>
      </c>
      <c r="BP323" s="259"/>
      <c r="BR323" s="117">
        <v>0</v>
      </c>
      <c r="BS323" s="26"/>
      <c r="BU323" s="26">
        <v>0</v>
      </c>
      <c r="BV323" s="535"/>
      <c r="BW323" s="576">
        <f t="shared" si="172"/>
        <v>0</v>
      </c>
      <c r="BX323" s="577" t="str">
        <f t="shared" si="173"/>
        <v xml:space="preserve"> </v>
      </c>
      <c r="BZ323" s="166">
        <v>0</v>
      </c>
      <c r="CA323" s="166">
        <v>0</v>
      </c>
      <c r="CC323" s="753"/>
      <c r="CE323" s="166">
        <v>0</v>
      </c>
      <c r="CF323" s="166"/>
      <c r="CO323" s="16"/>
    </row>
    <row r="324" spans="1:93" x14ac:dyDescent="0.3">
      <c r="A324" s="11">
        <v>210</v>
      </c>
      <c r="B324" s="3" t="s">
        <v>2</v>
      </c>
      <c r="C324" s="37">
        <v>21005</v>
      </c>
      <c r="D324" s="37">
        <v>53000</v>
      </c>
      <c r="E324" s="49" t="s">
        <v>118</v>
      </c>
      <c r="F324" s="3" t="s">
        <v>2</v>
      </c>
      <c r="G324" s="3" t="s">
        <v>1393</v>
      </c>
      <c r="H324" s="26">
        <v>555</v>
      </c>
      <c r="I324" s="244"/>
      <c r="J324" s="16">
        <f t="shared" si="161"/>
        <v>555</v>
      </c>
      <c r="K324" s="122">
        <f t="shared" si="162"/>
        <v>0</v>
      </c>
      <c r="M324" s="117">
        <v>555</v>
      </c>
      <c r="N324" s="117">
        <v>555</v>
      </c>
      <c r="P324" s="259"/>
      <c r="R324" s="26">
        <v>555</v>
      </c>
      <c r="S324" s="26">
        <v>0</v>
      </c>
      <c r="U324" s="26">
        <v>555</v>
      </c>
      <c r="V324" s="244">
        <v>-555</v>
      </c>
      <c r="W324" s="16">
        <f t="shared" si="163"/>
        <v>0</v>
      </c>
      <c r="X324" s="122">
        <f t="shared" si="164"/>
        <v>-1</v>
      </c>
      <c r="Z324" s="117">
        <v>0</v>
      </c>
      <c r="AA324" s="117">
        <v>0</v>
      </c>
      <c r="AC324" s="259"/>
      <c r="AE324" s="26">
        <v>0</v>
      </c>
      <c r="AF324" s="200">
        <v>4146</v>
      </c>
      <c r="AH324" s="26">
        <v>0</v>
      </c>
      <c r="AI324" s="244"/>
      <c r="AJ324" s="16">
        <f t="shared" si="165"/>
        <v>0</v>
      </c>
      <c r="AK324" s="122" t="str">
        <f t="shared" si="166"/>
        <v xml:space="preserve"> </v>
      </c>
      <c r="AM324" s="117">
        <v>0</v>
      </c>
      <c r="AN324" s="117">
        <v>0</v>
      </c>
      <c r="AP324" s="259"/>
      <c r="AR324" s="26">
        <v>0</v>
      </c>
      <c r="AS324" s="26">
        <v>0</v>
      </c>
      <c r="AU324" s="26">
        <f t="shared" si="167"/>
        <v>0</v>
      </c>
      <c r="AV324" s="248"/>
      <c r="AW324" s="16">
        <f t="shared" si="168"/>
        <v>0</v>
      </c>
      <c r="AX324" s="122" t="str">
        <f t="shared" si="169"/>
        <v xml:space="preserve"> </v>
      </c>
      <c r="AZ324" s="117">
        <v>0</v>
      </c>
      <c r="BA324" s="117">
        <v>0</v>
      </c>
      <c r="BC324" s="259"/>
      <c r="BE324" s="26">
        <v>0</v>
      </c>
      <c r="BF324" s="26"/>
      <c r="BH324" s="26">
        <v>0</v>
      </c>
      <c r="BI324" s="248">
        <v>1000</v>
      </c>
      <c r="BJ324" s="16">
        <f t="shared" si="170"/>
        <v>1000</v>
      </c>
      <c r="BK324" s="122" t="str">
        <f t="shared" si="171"/>
        <v xml:space="preserve"> </v>
      </c>
      <c r="BM324" s="117">
        <v>1000</v>
      </c>
      <c r="BN324" s="117">
        <v>1000</v>
      </c>
      <c r="BP324" s="259"/>
      <c r="BR324" s="117">
        <v>1000</v>
      </c>
      <c r="BS324" s="26"/>
      <c r="BU324" s="26">
        <v>1000</v>
      </c>
      <c r="BV324" s="535"/>
      <c r="BW324" s="576">
        <f t="shared" si="172"/>
        <v>1000</v>
      </c>
      <c r="BX324" s="577">
        <f t="shared" si="173"/>
        <v>0</v>
      </c>
      <c r="BZ324" s="166">
        <v>1000</v>
      </c>
      <c r="CA324" s="166">
        <f>1000-300</f>
        <v>700</v>
      </c>
      <c r="CC324" s="414" t="s">
        <v>1654</v>
      </c>
      <c r="CE324" s="166">
        <v>700</v>
      </c>
      <c r="CF324" s="166"/>
      <c r="CO324" s="16"/>
    </row>
    <row r="325" spans="1:93" x14ac:dyDescent="0.3">
      <c r="A325" s="11">
        <v>210</v>
      </c>
      <c r="B325" s="3" t="s">
        <v>2</v>
      </c>
      <c r="C325" s="37">
        <v>21005</v>
      </c>
      <c r="D325" s="37">
        <v>53045</v>
      </c>
      <c r="E325" s="49" t="s">
        <v>118</v>
      </c>
      <c r="G325" s="3" t="s">
        <v>1394</v>
      </c>
      <c r="H325" s="26"/>
      <c r="I325" s="244"/>
      <c r="M325" s="117"/>
      <c r="N325" s="117"/>
      <c r="P325" s="259"/>
      <c r="R325" s="26"/>
      <c r="S325" s="26"/>
      <c r="U325" s="26"/>
      <c r="V325" s="244"/>
      <c r="Z325" s="117"/>
      <c r="AA325" s="117"/>
      <c r="AC325" s="259"/>
      <c r="AE325" s="26"/>
      <c r="AF325" s="200"/>
      <c r="AH325" s="26"/>
      <c r="AI325" s="244"/>
      <c r="AM325" s="117"/>
      <c r="AN325" s="117"/>
      <c r="AP325" s="259"/>
      <c r="AR325" s="26"/>
      <c r="AS325" s="26"/>
      <c r="AU325" s="26"/>
      <c r="AV325" s="248"/>
      <c r="AZ325" s="117"/>
      <c r="BA325" s="117"/>
      <c r="BC325" s="259"/>
      <c r="BE325" s="26"/>
      <c r="BF325" s="26"/>
      <c r="BH325" s="26"/>
      <c r="BI325" s="248"/>
      <c r="BM325" s="117"/>
      <c r="BN325" s="117"/>
      <c r="BP325" s="259"/>
      <c r="BR325" s="117"/>
      <c r="BS325" s="26"/>
      <c r="BU325" s="26"/>
      <c r="BV325" s="535"/>
      <c r="BW325" s="576">
        <f t="shared" ref="BW325:BW326" si="174">BU325+BV325</f>
        <v>0</v>
      </c>
      <c r="BX325" s="577" t="str">
        <f t="shared" ref="BX325:BX326" si="175">IF(BU325=0," ",(BW325-BU325)/BU325)</f>
        <v xml:space="preserve"> </v>
      </c>
      <c r="BZ325" s="166">
        <v>0</v>
      </c>
      <c r="CA325" s="166">
        <v>0</v>
      </c>
      <c r="CC325" s="524" t="s">
        <v>1599</v>
      </c>
      <c r="CE325" s="166">
        <v>0</v>
      </c>
      <c r="CF325" s="166"/>
      <c r="CO325" s="16"/>
    </row>
    <row r="326" spans="1:93" x14ac:dyDescent="0.3">
      <c r="A326" s="11">
        <v>210</v>
      </c>
      <c r="B326" s="3" t="s">
        <v>2</v>
      </c>
      <c r="C326" s="37">
        <v>21005</v>
      </c>
      <c r="D326" s="37">
        <v>53200</v>
      </c>
      <c r="E326" s="49" t="s">
        <v>118</v>
      </c>
      <c r="F326" s="3" t="s">
        <v>2</v>
      </c>
      <c r="G326" s="3" t="s">
        <v>109</v>
      </c>
      <c r="H326" s="26">
        <v>3500</v>
      </c>
      <c r="I326" s="244"/>
      <c r="J326" s="16">
        <f t="shared" si="161"/>
        <v>3500</v>
      </c>
      <c r="K326" s="122">
        <f t="shared" si="162"/>
        <v>0</v>
      </c>
      <c r="M326" s="117">
        <v>3500</v>
      </c>
      <c r="N326" s="117">
        <v>3500</v>
      </c>
      <c r="P326" s="259"/>
      <c r="R326" s="26">
        <v>3500</v>
      </c>
      <c r="S326" s="26">
        <v>3176.36</v>
      </c>
      <c r="U326" s="26">
        <v>3500</v>
      </c>
      <c r="V326" s="244">
        <v>-500</v>
      </c>
      <c r="W326" s="16">
        <f t="shared" si="163"/>
        <v>3000</v>
      </c>
      <c r="X326" s="122">
        <f t="shared" si="164"/>
        <v>-0.14285714285714285</v>
      </c>
      <c r="Z326" s="117">
        <v>3000</v>
      </c>
      <c r="AA326" s="117">
        <v>3000</v>
      </c>
      <c r="AC326" s="259"/>
      <c r="AE326" s="26">
        <v>3000</v>
      </c>
      <c r="AF326" s="200">
        <v>0</v>
      </c>
      <c r="AH326" s="26">
        <v>3000</v>
      </c>
      <c r="AI326" s="244"/>
      <c r="AJ326" s="16">
        <f t="shared" si="165"/>
        <v>3000</v>
      </c>
      <c r="AK326" s="122">
        <f t="shared" si="166"/>
        <v>0</v>
      </c>
      <c r="AM326" s="117">
        <v>3000</v>
      </c>
      <c r="AN326" s="117">
        <v>3000</v>
      </c>
      <c r="AP326" s="259"/>
      <c r="AR326" s="26">
        <v>3000</v>
      </c>
      <c r="AS326" s="26">
        <v>3045.56</v>
      </c>
      <c r="AU326" s="26">
        <f t="shared" si="167"/>
        <v>3000</v>
      </c>
      <c r="AV326" s="248"/>
      <c r="AW326" s="16">
        <f t="shared" si="168"/>
        <v>3000</v>
      </c>
      <c r="AX326" s="122">
        <f t="shared" si="169"/>
        <v>0</v>
      </c>
      <c r="AZ326" s="117">
        <v>3000</v>
      </c>
      <c r="BA326" s="117">
        <v>3000</v>
      </c>
      <c r="BC326" s="259"/>
      <c r="BE326" s="26">
        <v>3000</v>
      </c>
      <c r="BF326" s="26">
        <v>3914</v>
      </c>
      <c r="BH326" s="26">
        <v>3000</v>
      </c>
      <c r="BI326" s="248">
        <v>559</v>
      </c>
      <c r="BJ326" s="16">
        <f t="shared" si="170"/>
        <v>3559</v>
      </c>
      <c r="BK326" s="122">
        <f t="shared" si="171"/>
        <v>0.18633333333333332</v>
      </c>
      <c r="BM326" s="117">
        <v>3559</v>
      </c>
      <c r="BN326" s="117">
        <v>3559</v>
      </c>
      <c r="BP326" s="259"/>
      <c r="BR326" s="117">
        <v>3559</v>
      </c>
      <c r="BS326" s="26">
        <v>645</v>
      </c>
      <c r="BU326" s="26">
        <v>3559</v>
      </c>
      <c r="BV326" s="535"/>
      <c r="BW326" s="576">
        <f t="shared" si="174"/>
        <v>3559</v>
      </c>
      <c r="BX326" s="577">
        <f t="shared" si="175"/>
        <v>0</v>
      </c>
      <c r="BZ326" s="166">
        <v>3559</v>
      </c>
      <c r="CA326" s="166">
        <v>3559</v>
      </c>
      <c r="CC326" s="753"/>
      <c r="CE326" s="166">
        <v>3559</v>
      </c>
      <c r="CF326" s="166"/>
      <c r="CO326" s="16"/>
    </row>
    <row r="327" spans="1:93" x14ac:dyDescent="0.3">
      <c r="A327" s="11">
        <v>210</v>
      </c>
      <c r="B327" s="3" t="s">
        <v>2</v>
      </c>
      <c r="C327" s="37">
        <v>21005</v>
      </c>
      <c r="D327" s="37">
        <v>53210</v>
      </c>
      <c r="E327" s="49" t="s">
        <v>118</v>
      </c>
      <c r="F327" s="3" t="s">
        <v>2</v>
      </c>
      <c r="G327" s="3" t="s">
        <v>57</v>
      </c>
      <c r="H327" s="26">
        <v>3000</v>
      </c>
      <c r="I327" s="244"/>
      <c r="J327" s="16">
        <f t="shared" si="161"/>
        <v>3000</v>
      </c>
      <c r="K327" s="122">
        <f t="shared" si="162"/>
        <v>0</v>
      </c>
      <c r="M327" s="117">
        <v>3000</v>
      </c>
      <c r="N327" s="117">
        <v>3000</v>
      </c>
      <c r="P327" s="259"/>
      <c r="R327" s="26">
        <v>3000</v>
      </c>
      <c r="S327" s="26">
        <v>3572</v>
      </c>
      <c r="U327" s="26">
        <v>3000</v>
      </c>
      <c r="V327" s="244">
        <v>555</v>
      </c>
      <c r="W327" s="16">
        <f t="shared" si="163"/>
        <v>3555</v>
      </c>
      <c r="X327" s="122">
        <f t="shared" si="164"/>
        <v>0.185</v>
      </c>
      <c r="Z327" s="117">
        <v>3555</v>
      </c>
      <c r="AA327" s="117">
        <v>3555</v>
      </c>
      <c r="AC327" s="259"/>
      <c r="AE327" s="26">
        <v>3555</v>
      </c>
      <c r="AF327" s="200">
        <v>1050</v>
      </c>
      <c r="AH327" s="26">
        <v>3555</v>
      </c>
      <c r="AI327" s="244"/>
      <c r="AJ327" s="16">
        <f t="shared" si="165"/>
        <v>3555</v>
      </c>
      <c r="AK327" s="122">
        <f t="shared" si="166"/>
        <v>0</v>
      </c>
      <c r="AM327" s="117">
        <v>3555</v>
      </c>
      <c r="AN327" s="117">
        <v>3555</v>
      </c>
      <c r="AP327" s="259"/>
      <c r="AR327" s="26">
        <v>3555</v>
      </c>
      <c r="AS327" s="26">
        <v>350</v>
      </c>
      <c r="AU327" s="26">
        <f t="shared" si="167"/>
        <v>3555</v>
      </c>
      <c r="AV327" s="248"/>
      <c r="AW327" s="16">
        <f t="shared" si="168"/>
        <v>3555</v>
      </c>
      <c r="AX327" s="122">
        <f t="shared" si="169"/>
        <v>0</v>
      </c>
      <c r="AZ327" s="117">
        <v>3555</v>
      </c>
      <c r="BA327" s="117">
        <v>3555</v>
      </c>
      <c r="BC327" s="259"/>
      <c r="BE327" s="26">
        <v>3555</v>
      </c>
      <c r="BF327" s="26">
        <v>3830</v>
      </c>
      <c r="BH327" s="26">
        <v>3555</v>
      </c>
      <c r="BI327" s="248">
        <v>-555</v>
      </c>
      <c r="BJ327" s="16">
        <f t="shared" si="170"/>
        <v>3000</v>
      </c>
      <c r="BK327" s="122">
        <f t="shared" si="171"/>
        <v>-0.15611814345991562</v>
      </c>
      <c r="BM327" s="117">
        <v>3000</v>
      </c>
      <c r="BN327" s="117">
        <v>3000</v>
      </c>
      <c r="BP327" s="259"/>
      <c r="BR327" s="117">
        <v>3000</v>
      </c>
      <c r="BS327" s="26"/>
      <c r="BU327" s="26">
        <v>3000</v>
      </c>
      <c r="BV327" s="535"/>
      <c r="BW327" s="576">
        <f t="shared" si="172"/>
        <v>3000</v>
      </c>
      <c r="BX327" s="577">
        <f t="shared" si="173"/>
        <v>0</v>
      </c>
      <c r="BZ327" s="166">
        <v>3000</v>
      </c>
      <c r="CA327" s="166">
        <f>3000-3000</f>
        <v>0</v>
      </c>
      <c r="CC327" s="753" t="s">
        <v>1653</v>
      </c>
      <c r="CE327" s="166">
        <v>0</v>
      </c>
      <c r="CF327" s="166"/>
      <c r="CO327" s="16"/>
    </row>
    <row r="328" spans="1:93" x14ac:dyDescent="0.3">
      <c r="A328" s="11">
        <v>210</v>
      </c>
      <c r="B328" s="3" t="s">
        <v>2</v>
      </c>
      <c r="C328" s="37">
        <v>21005</v>
      </c>
      <c r="D328" s="37">
        <v>53400</v>
      </c>
      <c r="E328" s="49" t="s">
        <v>118</v>
      </c>
      <c r="F328" s="3" t="s">
        <v>2</v>
      </c>
      <c r="G328" s="3" t="s">
        <v>70</v>
      </c>
      <c r="H328" s="26">
        <v>12000</v>
      </c>
      <c r="I328" s="244"/>
      <c r="J328" s="16">
        <f t="shared" si="161"/>
        <v>12000</v>
      </c>
      <c r="K328" s="122">
        <f t="shared" si="162"/>
        <v>0</v>
      </c>
      <c r="M328" s="117">
        <v>12000</v>
      </c>
      <c r="N328" s="117">
        <v>12000</v>
      </c>
      <c r="P328" s="259"/>
      <c r="R328" s="26">
        <v>12000</v>
      </c>
      <c r="S328" s="26">
        <v>12843.12</v>
      </c>
      <c r="U328" s="26">
        <v>12000</v>
      </c>
      <c r="V328" s="244">
        <v>2000</v>
      </c>
      <c r="W328" s="16">
        <f t="shared" si="163"/>
        <v>14000</v>
      </c>
      <c r="X328" s="122">
        <f t="shared" si="164"/>
        <v>0.16666666666666666</v>
      </c>
      <c r="Z328" s="117">
        <v>14000</v>
      </c>
      <c r="AA328" s="117">
        <v>14000</v>
      </c>
      <c r="AC328" s="259"/>
      <c r="AE328" s="26">
        <v>14000</v>
      </c>
      <c r="AF328" s="200">
        <v>22381.78</v>
      </c>
      <c r="AH328" s="26">
        <v>14000</v>
      </c>
      <c r="AI328" s="244"/>
      <c r="AJ328" s="16">
        <f t="shared" si="165"/>
        <v>14000</v>
      </c>
      <c r="AK328" s="122">
        <f t="shared" si="166"/>
        <v>0</v>
      </c>
      <c r="AM328" s="117">
        <f>14000+5250</f>
        <v>19250</v>
      </c>
      <c r="AN328" s="117">
        <f>14000+5250</f>
        <v>19250</v>
      </c>
      <c r="AP328" s="266" t="s">
        <v>848</v>
      </c>
      <c r="AR328" s="26">
        <f>14000+5250</f>
        <v>19250</v>
      </c>
      <c r="AS328" s="26">
        <v>12612.5</v>
      </c>
      <c r="AU328" s="26">
        <f t="shared" si="167"/>
        <v>19250</v>
      </c>
      <c r="AV328" s="248"/>
      <c r="AW328" s="16">
        <f t="shared" si="168"/>
        <v>19250</v>
      </c>
      <c r="AX328" s="122">
        <f t="shared" si="169"/>
        <v>0</v>
      </c>
      <c r="AZ328" s="117">
        <v>19250</v>
      </c>
      <c r="BA328" s="117">
        <v>19250</v>
      </c>
      <c r="BC328" s="266"/>
      <c r="BE328" s="26">
        <v>19250</v>
      </c>
      <c r="BF328" s="26">
        <v>19511.73</v>
      </c>
      <c r="BH328" s="26">
        <v>19250</v>
      </c>
      <c r="BI328" s="248">
        <v>2603</v>
      </c>
      <c r="BJ328" s="16">
        <f t="shared" si="170"/>
        <v>21853</v>
      </c>
      <c r="BK328" s="122">
        <f t="shared" si="171"/>
        <v>0.13522077922077921</v>
      </c>
      <c r="BM328" s="117">
        <v>21853</v>
      </c>
      <c r="BN328" s="117">
        <v>21853</v>
      </c>
      <c r="BP328" s="259"/>
      <c r="BR328" s="117">
        <v>21853</v>
      </c>
      <c r="BS328" s="26">
        <v>8752.48</v>
      </c>
      <c r="BU328" s="26">
        <v>21853</v>
      </c>
      <c r="BV328" s="535"/>
      <c r="BW328" s="576">
        <f t="shared" si="172"/>
        <v>21853</v>
      </c>
      <c r="BX328" s="577">
        <f t="shared" si="173"/>
        <v>0</v>
      </c>
      <c r="BZ328" s="166">
        <v>21853</v>
      </c>
      <c r="CA328" s="166">
        <v>21853</v>
      </c>
      <c r="CC328" s="753"/>
      <c r="CE328" s="166">
        <v>21853</v>
      </c>
      <c r="CF328" s="166"/>
      <c r="CO328" s="16"/>
    </row>
    <row r="329" spans="1:93" x14ac:dyDescent="0.3">
      <c r="A329" s="11">
        <v>210</v>
      </c>
      <c r="B329" s="3" t="s">
        <v>2</v>
      </c>
      <c r="C329" s="37">
        <v>21005</v>
      </c>
      <c r="D329" s="37">
        <v>53420</v>
      </c>
      <c r="E329" s="49" t="s">
        <v>118</v>
      </c>
      <c r="F329" s="3" t="s">
        <v>2</v>
      </c>
      <c r="G329" s="3" t="s">
        <v>58</v>
      </c>
      <c r="H329" s="26">
        <v>850</v>
      </c>
      <c r="I329" s="244"/>
      <c r="J329" s="16">
        <f t="shared" si="161"/>
        <v>850</v>
      </c>
      <c r="K329" s="122">
        <f t="shared" si="162"/>
        <v>0</v>
      </c>
      <c r="M329" s="117">
        <v>850</v>
      </c>
      <c r="N329" s="117">
        <v>850</v>
      </c>
      <c r="P329" s="259"/>
      <c r="R329" s="26">
        <v>850</v>
      </c>
      <c r="S329" s="26">
        <v>695</v>
      </c>
      <c r="U329" s="26">
        <v>850</v>
      </c>
      <c r="V329" s="244">
        <v>0</v>
      </c>
      <c r="W329" s="16">
        <f t="shared" si="163"/>
        <v>850</v>
      </c>
      <c r="X329" s="122">
        <f t="shared" si="164"/>
        <v>0</v>
      </c>
      <c r="Z329" s="117">
        <v>850</v>
      </c>
      <c r="AA329" s="117">
        <v>850</v>
      </c>
      <c r="AC329" s="259"/>
      <c r="AE329" s="26">
        <v>850</v>
      </c>
      <c r="AF329" s="200">
        <v>807</v>
      </c>
      <c r="AH329" s="26">
        <v>850</v>
      </c>
      <c r="AI329" s="244"/>
      <c r="AJ329" s="16">
        <f t="shared" si="165"/>
        <v>850</v>
      </c>
      <c r="AK329" s="122">
        <f t="shared" si="166"/>
        <v>0</v>
      </c>
      <c r="AM329" s="117">
        <v>850</v>
      </c>
      <c r="AN329" s="117">
        <v>850</v>
      </c>
      <c r="AP329" s="259"/>
      <c r="AR329" s="26">
        <v>850</v>
      </c>
      <c r="AS329" s="26">
        <v>988</v>
      </c>
      <c r="AU329" s="26">
        <f t="shared" si="167"/>
        <v>850</v>
      </c>
      <c r="AV329" s="248"/>
      <c r="AW329" s="16">
        <f t="shared" si="168"/>
        <v>850</v>
      </c>
      <c r="AX329" s="122">
        <f t="shared" si="169"/>
        <v>0</v>
      </c>
      <c r="AZ329" s="117">
        <v>850</v>
      </c>
      <c r="BA329" s="117">
        <v>850</v>
      </c>
      <c r="BC329" s="259"/>
      <c r="BE329" s="26">
        <v>850</v>
      </c>
      <c r="BF329" s="26">
        <v>1342.42</v>
      </c>
      <c r="BH329" s="26">
        <v>850</v>
      </c>
      <c r="BI329" s="248">
        <v>63</v>
      </c>
      <c r="BJ329" s="16">
        <f t="shared" si="170"/>
        <v>913</v>
      </c>
      <c r="BK329" s="122">
        <f t="shared" si="171"/>
        <v>7.4117647058823524E-2</v>
      </c>
      <c r="BM329" s="117">
        <v>913</v>
      </c>
      <c r="BN329" s="117">
        <v>913</v>
      </c>
      <c r="BP329" s="259"/>
      <c r="BR329" s="117">
        <v>913</v>
      </c>
      <c r="BS329" s="26"/>
      <c r="BU329" s="26">
        <v>913</v>
      </c>
      <c r="BV329" s="535"/>
      <c r="BW329" s="576">
        <f t="shared" si="172"/>
        <v>913</v>
      </c>
      <c r="BX329" s="577">
        <f t="shared" si="173"/>
        <v>0</v>
      </c>
      <c r="BZ329" s="166">
        <v>913</v>
      </c>
      <c r="CA329" s="166">
        <v>913</v>
      </c>
      <c r="CC329" s="753"/>
      <c r="CE329" s="166">
        <v>913</v>
      </c>
      <c r="CF329" s="166"/>
      <c r="CO329" s="16"/>
    </row>
    <row r="330" spans="1:93" x14ac:dyDescent="0.3">
      <c r="A330" s="11">
        <v>210</v>
      </c>
      <c r="B330" s="3" t="s">
        <v>2</v>
      </c>
      <c r="C330" s="37">
        <v>21005</v>
      </c>
      <c r="D330" s="37">
        <v>53430</v>
      </c>
      <c r="E330" s="49" t="s">
        <v>118</v>
      </c>
      <c r="F330" s="3" t="s">
        <v>2</v>
      </c>
      <c r="G330" s="3" t="s">
        <v>59</v>
      </c>
      <c r="H330" s="26">
        <v>550</v>
      </c>
      <c r="I330" s="244"/>
      <c r="J330" s="16">
        <f t="shared" si="161"/>
        <v>550</v>
      </c>
      <c r="K330" s="122">
        <f t="shared" si="162"/>
        <v>0</v>
      </c>
      <c r="M330" s="117">
        <v>550</v>
      </c>
      <c r="N330" s="117">
        <v>550</v>
      </c>
      <c r="P330" s="259"/>
      <c r="R330" s="26">
        <v>550</v>
      </c>
      <c r="S330" s="26">
        <v>609.45000000000005</v>
      </c>
      <c r="U330" s="26">
        <v>550</v>
      </c>
      <c r="V330" s="244">
        <v>0</v>
      </c>
      <c r="W330" s="16">
        <f t="shared" si="163"/>
        <v>550</v>
      </c>
      <c r="X330" s="122">
        <f t="shared" si="164"/>
        <v>0</v>
      </c>
      <c r="Z330" s="117">
        <v>550</v>
      </c>
      <c r="AA330" s="117">
        <v>550</v>
      </c>
      <c r="AC330" s="259"/>
      <c r="AE330" s="26">
        <v>550</v>
      </c>
      <c r="AF330" s="200">
        <v>24</v>
      </c>
      <c r="AH330" s="26">
        <v>550</v>
      </c>
      <c r="AI330" s="244"/>
      <c r="AJ330" s="16">
        <f t="shared" si="165"/>
        <v>550</v>
      </c>
      <c r="AK330" s="122">
        <f t="shared" si="166"/>
        <v>0</v>
      </c>
      <c r="AM330" s="117">
        <v>550</v>
      </c>
      <c r="AN330" s="117">
        <v>550</v>
      </c>
      <c r="AP330" s="259"/>
      <c r="AR330" s="26">
        <v>550</v>
      </c>
      <c r="AS330" s="26">
        <v>205.37</v>
      </c>
      <c r="AU330" s="26">
        <f t="shared" si="167"/>
        <v>550</v>
      </c>
      <c r="AV330" s="248"/>
      <c r="AW330" s="16">
        <f t="shared" si="168"/>
        <v>550</v>
      </c>
      <c r="AX330" s="122">
        <f t="shared" si="169"/>
        <v>0</v>
      </c>
      <c r="AZ330" s="117">
        <v>550</v>
      </c>
      <c r="BA330" s="117">
        <v>550</v>
      </c>
      <c r="BC330" s="259"/>
      <c r="BE330" s="26">
        <v>550</v>
      </c>
      <c r="BF330" s="26">
        <v>337.9</v>
      </c>
      <c r="BH330" s="26">
        <v>550</v>
      </c>
      <c r="BI330" s="248">
        <v>-219</v>
      </c>
      <c r="BJ330" s="16">
        <f t="shared" si="170"/>
        <v>331</v>
      </c>
      <c r="BK330" s="122">
        <f t="shared" si="171"/>
        <v>-0.39818181818181819</v>
      </c>
      <c r="BM330" s="117">
        <v>331</v>
      </c>
      <c r="BN330" s="117">
        <v>331</v>
      </c>
      <c r="BP330" s="259"/>
      <c r="BR330" s="117">
        <v>331</v>
      </c>
      <c r="BS330" s="26">
        <v>66.91</v>
      </c>
      <c r="BU330" s="26">
        <v>331</v>
      </c>
      <c r="BV330" s="535"/>
      <c r="BW330" s="576">
        <f t="shared" si="172"/>
        <v>331</v>
      </c>
      <c r="BX330" s="577">
        <f t="shared" si="173"/>
        <v>0</v>
      </c>
      <c r="BZ330" s="166">
        <v>331</v>
      </c>
      <c r="CA330" s="166">
        <v>331</v>
      </c>
      <c r="CC330" s="753"/>
      <c r="CE330" s="166">
        <v>331</v>
      </c>
      <c r="CF330" s="166"/>
      <c r="CO330" s="16"/>
    </row>
    <row r="331" spans="1:93" x14ac:dyDescent="0.3">
      <c r="A331" s="11">
        <v>210</v>
      </c>
      <c r="B331" s="3" t="s">
        <v>2</v>
      </c>
      <c r="C331" s="37">
        <v>21005</v>
      </c>
      <c r="D331" s="37">
        <v>53450</v>
      </c>
      <c r="E331" s="49" t="s">
        <v>118</v>
      </c>
      <c r="F331" s="3" t="s">
        <v>2</v>
      </c>
      <c r="G331" s="3" t="s">
        <v>60</v>
      </c>
      <c r="H331" s="26">
        <v>0</v>
      </c>
      <c r="I331" s="244"/>
      <c r="J331" s="16">
        <f t="shared" si="161"/>
        <v>0</v>
      </c>
      <c r="K331" s="122" t="str">
        <f t="shared" si="162"/>
        <v xml:space="preserve"> </v>
      </c>
      <c r="M331" s="117">
        <v>0</v>
      </c>
      <c r="N331" s="117">
        <v>0</v>
      </c>
      <c r="P331" s="259"/>
      <c r="R331" s="26">
        <v>0</v>
      </c>
      <c r="S331" s="26">
        <v>88</v>
      </c>
      <c r="U331" s="26">
        <v>0</v>
      </c>
      <c r="V331" s="244">
        <v>0</v>
      </c>
      <c r="W331" s="16">
        <f t="shared" si="163"/>
        <v>0</v>
      </c>
      <c r="X331" s="122" t="str">
        <f t="shared" si="164"/>
        <v xml:space="preserve"> </v>
      </c>
      <c r="Z331" s="117">
        <v>0</v>
      </c>
      <c r="AA331" s="117">
        <v>0</v>
      </c>
      <c r="AC331" s="259"/>
      <c r="AE331" s="26">
        <v>0</v>
      </c>
      <c r="AF331" s="200">
        <v>0</v>
      </c>
      <c r="AH331" s="26">
        <v>0</v>
      </c>
      <c r="AI331" s="244"/>
      <c r="AJ331" s="16">
        <f t="shared" si="165"/>
        <v>0</v>
      </c>
      <c r="AK331" s="122" t="str">
        <f t="shared" si="166"/>
        <v xml:space="preserve"> </v>
      </c>
      <c r="AM331" s="117">
        <v>0</v>
      </c>
      <c r="AN331" s="117">
        <v>0</v>
      </c>
      <c r="AP331" s="259"/>
      <c r="AR331" s="26">
        <v>0</v>
      </c>
      <c r="AS331" s="26">
        <v>0</v>
      </c>
      <c r="AU331" s="26">
        <f t="shared" si="167"/>
        <v>0</v>
      </c>
      <c r="AV331" s="248"/>
      <c r="AW331" s="16">
        <f t="shared" si="168"/>
        <v>0</v>
      </c>
      <c r="AX331" s="122" t="str">
        <f t="shared" si="169"/>
        <v xml:space="preserve"> </v>
      </c>
      <c r="AZ331" s="117">
        <v>0</v>
      </c>
      <c r="BA331" s="117">
        <v>0</v>
      </c>
      <c r="BC331" s="259"/>
      <c r="BE331" s="26">
        <v>0</v>
      </c>
      <c r="BF331" s="26">
        <v>15.98</v>
      </c>
      <c r="BH331" s="26">
        <v>0</v>
      </c>
      <c r="BI331" s="248">
        <v>1150</v>
      </c>
      <c r="BJ331" s="16">
        <f t="shared" si="170"/>
        <v>1150</v>
      </c>
      <c r="BK331" s="122" t="str">
        <f t="shared" si="171"/>
        <v xml:space="preserve"> </v>
      </c>
      <c r="BM331" s="117">
        <v>1150</v>
      </c>
      <c r="BN331" s="117">
        <v>1150</v>
      </c>
      <c r="BP331" s="259"/>
      <c r="BR331" s="117">
        <v>1150</v>
      </c>
      <c r="BS331" s="26"/>
      <c r="BU331" s="26">
        <v>1150</v>
      </c>
      <c r="BV331" s="756">
        <v>-1150</v>
      </c>
      <c r="BW331" s="576">
        <f t="shared" si="172"/>
        <v>0</v>
      </c>
      <c r="BX331" s="577">
        <f t="shared" si="173"/>
        <v>-1</v>
      </c>
      <c r="BZ331" s="166">
        <v>0</v>
      </c>
      <c r="CA331" s="166">
        <v>0</v>
      </c>
      <c r="CC331" s="753"/>
      <c r="CE331" s="166">
        <v>0</v>
      </c>
      <c r="CF331" s="166"/>
      <c r="CO331" s="16"/>
    </row>
    <row r="332" spans="1:93" x14ac:dyDescent="0.3">
      <c r="A332" s="11">
        <v>210</v>
      </c>
      <c r="B332" s="3" t="s">
        <v>2</v>
      </c>
      <c r="C332" s="37">
        <v>21005</v>
      </c>
      <c r="D332" s="37">
        <v>54200</v>
      </c>
      <c r="E332" s="49" t="s">
        <v>118</v>
      </c>
      <c r="F332" s="3" t="s">
        <v>2</v>
      </c>
      <c r="G332" s="3" t="s">
        <v>61</v>
      </c>
      <c r="H332" s="26">
        <v>4400</v>
      </c>
      <c r="I332" s="244">
        <v>1000</v>
      </c>
      <c r="J332" s="16">
        <f t="shared" si="161"/>
        <v>5400</v>
      </c>
      <c r="K332" s="122">
        <f t="shared" si="162"/>
        <v>0.22727272727272727</v>
      </c>
      <c r="M332" s="117">
        <v>5400</v>
      </c>
      <c r="N332" s="117">
        <v>5400</v>
      </c>
      <c r="P332" s="259" t="s">
        <v>575</v>
      </c>
      <c r="R332" s="26">
        <v>5400</v>
      </c>
      <c r="S332" s="26">
        <v>5682.7</v>
      </c>
      <c r="U332" s="26">
        <v>5400</v>
      </c>
      <c r="V332" s="244">
        <v>1000</v>
      </c>
      <c r="W332" s="16">
        <f t="shared" si="163"/>
        <v>6400</v>
      </c>
      <c r="X332" s="122">
        <f t="shared" si="164"/>
        <v>0.18518518518518517</v>
      </c>
      <c r="Z332" s="117">
        <v>6400</v>
      </c>
      <c r="AA332" s="117">
        <v>6400</v>
      </c>
      <c r="AC332" s="259"/>
      <c r="AE332" s="26">
        <v>6400</v>
      </c>
      <c r="AF332" s="200">
        <v>3938.66</v>
      </c>
      <c r="AH332" s="26">
        <v>6400</v>
      </c>
      <c r="AI332" s="244"/>
      <c r="AJ332" s="16">
        <f t="shared" si="165"/>
        <v>6400</v>
      </c>
      <c r="AK332" s="122">
        <f t="shared" si="166"/>
        <v>0</v>
      </c>
      <c r="AM332" s="117">
        <v>6400</v>
      </c>
      <c r="AN332" s="117">
        <v>6400</v>
      </c>
      <c r="AP332" s="259"/>
      <c r="AR332" s="26">
        <v>6400</v>
      </c>
      <c r="AS332" s="26">
        <v>2848.96</v>
      </c>
      <c r="AU332" s="26">
        <f t="shared" si="167"/>
        <v>6400</v>
      </c>
      <c r="AV332" s="248"/>
      <c r="AW332" s="16">
        <f t="shared" si="168"/>
        <v>6400</v>
      </c>
      <c r="AX332" s="122">
        <f t="shared" si="169"/>
        <v>0</v>
      </c>
      <c r="AZ332" s="117">
        <v>6400</v>
      </c>
      <c r="BA332" s="117">
        <v>6400</v>
      </c>
      <c r="BC332" s="259"/>
      <c r="BE332" s="26">
        <v>6400</v>
      </c>
      <c r="BF332" s="26">
        <v>3476.36</v>
      </c>
      <c r="BH332" s="26">
        <v>6400</v>
      </c>
      <c r="BI332" s="248">
        <v>-2118</v>
      </c>
      <c r="BJ332" s="16">
        <f t="shared" si="170"/>
        <v>4282</v>
      </c>
      <c r="BK332" s="122">
        <f t="shared" si="171"/>
        <v>-0.3309375</v>
      </c>
      <c r="BM332" s="117">
        <v>4282</v>
      </c>
      <c r="BN332" s="117">
        <v>4282</v>
      </c>
      <c r="BP332" s="259"/>
      <c r="BR332" s="117">
        <v>4282</v>
      </c>
      <c r="BS332" s="26">
        <v>3537.64</v>
      </c>
      <c r="BU332" s="26">
        <v>4282</v>
      </c>
      <c r="BV332" s="756">
        <v>1150</v>
      </c>
      <c r="BW332" s="576">
        <f t="shared" si="172"/>
        <v>5432</v>
      </c>
      <c r="BX332" s="577">
        <f t="shared" si="173"/>
        <v>0.26856609061186359</v>
      </c>
      <c r="BZ332" s="166">
        <v>5432</v>
      </c>
      <c r="CA332" s="166">
        <v>5432</v>
      </c>
      <c r="CC332" s="753"/>
      <c r="CE332" s="166">
        <v>5432</v>
      </c>
      <c r="CF332" s="166"/>
      <c r="CO332" s="16"/>
    </row>
    <row r="333" spans="1:93" x14ac:dyDescent="0.3">
      <c r="A333" s="11">
        <v>210</v>
      </c>
      <c r="B333" s="3" t="s">
        <v>2</v>
      </c>
      <c r="C333" s="37">
        <v>21005</v>
      </c>
      <c r="D333" s="37">
        <v>54226</v>
      </c>
      <c r="E333" s="49" t="s">
        <v>118</v>
      </c>
      <c r="F333" s="3" t="s">
        <v>2</v>
      </c>
      <c r="G333" s="3" t="s">
        <v>1230</v>
      </c>
      <c r="H333" s="26"/>
      <c r="I333" s="244"/>
      <c r="J333" s="16">
        <f t="shared" si="161"/>
        <v>0</v>
      </c>
      <c r="K333" s="122" t="str">
        <f t="shared" si="162"/>
        <v xml:space="preserve"> </v>
      </c>
      <c r="M333" s="117"/>
      <c r="N333" s="117"/>
      <c r="P333" s="259"/>
      <c r="R333" s="26"/>
      <c r="S333" s="26">
        <v>0</v>
      </c>
      <c r="U333" s="26"/>
      <c r="V333" s="244">
        <v>0</v>
      </c>
      <c r="W333" s="16">
        <f t="shared" si="163"/>
        <v>0</v>
      </c>
      <c r="X333" s="122" t="str">
        <f t="shared" si="164"/>
        <v xml:space="preserve"> </v>
      </c>
      <c r="Z333" s="117"/>
      <c r="AA333" s="117"/>
      <c r="AC333" s="259"/>
      <c r="AE333" s="26"/>
      <c r="AF333" s="200">
        <v>0</v>
      </c>
      <c r="AH333" s="26"/>
      <c r="AI333" s="244"/>
      <c r="AJ333" s="16">
        <f t="shared" si="165"/>
        <v>0</v>
      </c>
      <c r="AK333" s="122" t="str">
        <f t="shared" si="166"/>
        <v xml:space="preserve"> </v>
      </c>
      <c r="AM333" s="117"/>
      <c r="AN333" s="117"/>
      <c r="AP333" s="259"/>
      <c r="AR333" s="26"/>
      <c r="AS333" s="26">
        <v>0</v>
      </c>
      <c r="AU333" s="26">
        <f t="shared" si="167"/>
        <v>0</v>
      </c>
      <c r="AV333" s="248"/>
      <c r="AW333" s="16">
        <f t="shared" si="168"/>
        <v>0</v>
      </c>
      <c r="AX333" s="122" t="str">
        <f t="shared" si="169"/>
        <v xml:space="preserve"> </v>
      </c>
      <c r="AZ333" s="117"/>
      <c r="BA333" s="117"/>
      <c r="BC333" s="259"/>
      <c r="BE333" s="26"/>
      <c r="BF333" s="26">
        <v>1766.06</v>
      </c>
      <c r="BH333" s="26"/>
      <c r="BI333" s="248"/>
      <c r="BJ333" s="16">
        <f t="shared" si="170"/>
        <v>0</v>
      </c>
      <c r="BK333" s="122" t="str">
        <f t="shared" si="171"/>
        <v xml:space="preserve"> </v>
      </c>
      <c r="BM333" s="117">
        <v>0</v>
      </c>
      <c r="BN333" s="117">
        <v>0</v>
      </c>
      <c r="BP333" s="259"/>
      <c r="BR333" s="117">
        <v>0</v>
      </c>
      <c r="BS333" s="26">
        <v>1518.09</v>
      </c>
      <c r="BU333" s="26">
        <v>0</v>
      </c>
      <c r="BV333" s="535">
        <v>2903</v>
      </c>
      <c r="BW333" s="576">
        <f t="shared" si="172"/>
        <v>2903</v>
      </c>
      <c r="BX333" s="577" t="str">
        <f t="shared" si="173"/>
        <v xml:space="preserve"> </v>
      </c>
      <c r="BZ333" s="166">
        <v>2903</v>
      </c>
      <c r="CA333" s="166">
        <v>2903</v>
      </c>
      <c r="CC333" s="753" t="s">
        <v>1396</v>
      </c>
      <c r="CE333" s="166">
        <v>2903</v>
      </c>
      <c r="CF333" s="166"/>
      <c r="CO333" s="16"/>
    </row>
    <row r="334" spans="1:93" x14ac:dyDescent="0.3">
      <c r="A334" s="11">
        <v>210</v>
      </c>
      <c r="B334" s="3" t="s">
        <v>2</v>
      </c>
      <c r="C334" s="37">
        <v>21005</v>
      </c>
      <c r="D334" s="37">
        <v>54240</v>
      </c>
      <c r="E334" s="49" t="s">
        <v>118</v>
      </c>
      <c r="F334" s="3" t="s">
        <v>2</v>
      </c>
      <c r="G334" s="3" t="s">
        <v>62</v>
      </c>
      <c r="H334" s="26">
        <v>400</v>
      </c>
      <c r="I334" s="244"/>
      <c r="J334" s="16">
        <f t="shared" si="161"/>
        <v>400</v>
      </c>
      <c r="K334" s="122">
        <f t="shared" si="162"/>
        <v>0</v>
      </c>
      <c r="M334" s="117">
        <v>400</v>
      </c>
      <c r="N334" s="117">
        <v>400</v>
      </c>
      <c r="P334" s="259"/>
      <c r="R334" s="26">
        <v>400</v>
      </c>
      <c r="S334" s="26">
        <v>0</v>
      </c>
      <c r="U334" s="26">
        <v>400</v>
      </c>
      <c r="V334" s="244">
        <v>0</v>
      </c>
      <c r="W334" s="16">
        <f t="shared" si="163"/>
        <v>400</v>
      </c>
      <c r="X334" s="122">
        <f t="shared" si="164"/>
        <v>0</v>
      </c>
      <c r="Z334" s="117">
        <v>400</v>
      </c>
      <c r="AA334" s="117">
        <v>400</v>
      </c>
      <c r="AC334" s="259"/>
      <c r="AE334" s="26">
        <v>400</v>
      </c>
      <c r="AF334" s="200">
        <v>0</v>
      </c>
      <c r="AH334" s="26">
        <v>400</v>
      </c>
      <c r="AI334" s="244"/>
      <c r="AJ334" s="16">
        <f t="shared" si="165"/>
        <v>400</v>
      </c>
      <c r="AK334" s="122">
        <f t="shared" si="166"/>
        <v>0</v>
      </c>
      <c r="AM334" s="117">
        <v>400</v>
      </c>
      <c r="AN334" s="117">
        <v>400</v>
      </c>
      <c r="AP334" s="259"/>
      <c r="AR334" s="26">
        <v>400</v>
      </c>
      <c r="AS334" s="26">
        <v>0</v>
      </c>
      <c r="AU334" s="26">
        <f t="shared" si="167"/>
        <v>400</v>
      </c>
      <c r="AV334" s="248"/>
      <c r="AW334" s="16">
        <f t="shared" si="168"/>
        <v>400</v>
      </c>
      <c r="AX334" s="122">
        <f t="shared" si="169"/>
        <v>0</v>
      </c>
      <c r="AZ334" s="117">
        <v>400</v>
      </c>
      <c r="BA334" s="117">
        <v>400</v>
      </c>
      <c r="BC334" s="259"/>
      <c r="BE334" s="26">
        <v>400</v>
      </c>
      <c r="BF334" s="26">
        <v>0</v>
      </c>
      <c r="BH334" s="26">
        <v>400</v>
      </c>
      <c r="BI334" s="248">
        <v>-400</v>
      </c>
      <c r="BJ334" s="16">
        <f t="shared" si="170"/>
        <v>0</v>
      </c>
      <c r="BK334" s="122">
        <f t="shared" si="171"/>
        <v>-1</v>
      </c>
      <c r="BM334" s="117">
        <v>0</v>
      </c>
      <c r="BN334" s="117">
        <v>0</v>
      </c>
      <c r="BP334" s="259"/>
      <c r="BR334" s="117">
        <v>0</v>
      </c>
      <c r="BS334" s="26"/>
      <c r="BU334" s="26">
        <v>0</v>
      </c>
      <c r="BV334" s="535"/>
      <c r="BW334" s="576">
        <f t="shared" si="172"/>
        <v>0</v>
      </c>
      <c r="BX334" s="577" t="str">
        <f t="shared" si="173"/>
        <v xml:space="preserve"> </v>
      </c>
      <c r="BZ334" s="166">
        <v>0</v>
      </c>
      <c r="CA334" s="166">
        <v>0</v>
      </c>
      <c r="CC334" s="753"/>
      <c r="CE334" s="166">
        <v>0</v>
      </c>
      <c r="CF334" s="166"/>
      <c r="CO334" s="16"/>
    </row>
    <row r="335" spans="1:93" x14ac:dyDescent="0.3">
      <c r="A335" s="11">
        <v>210</v>
      </c>
      <c r="B335" s="3" t="s">
        <v>2</v>
      </c>
      <c r="C335" s="37">
        <v>21005</v>
      </c>
      <c r="D335" s="37">
        <v>54500</v>
      </c>
      <c r="E335" s="49" t="s">
        <v>118</v>
      </c>
      <c r="F335" s="3" t="s">
        <v>2</v>
      </c>
      <c r="G335" s="3" t="s">
        <v>63</v>
      </c>
      <c r="H335" s="26">
        <v>1600</v>
      </c>
      <c r="I335" s="244"/>
      <c r="J335" s="16">
        <f t="shared" si="161"/>
        <v>1600</v>
      </c>
      <c r="K335" s="122">
        <f t="shared" si="162"/>
        <v>0</v>
      </c>
      <c r="M335" s="117">
        <v>1600</v>
      </c>
      <c r="N335" s="117">
        <v>1600</v>
      </c>
      <c r="P335" s="259"/>
      <c r="R335" s="26">
        <v>1600</v>
      </c>
      <c r="S335" s="26">
        <v>1370.13</v>
      </c>
      <c r="U335" s="26">
        <v>1600</v>
      </c>
      <c r="V335" s="244">
        <v>0</v>
      </c>
      <c r="W335" s="16">
        <f t="shared" si="163"/>
        <v>1600</v>
      </c>
      <c r="X335" s="122">
        <f t="shared" si="164"/>
        <v>0</v>
      </c>
      <c r="Z335" s="117">
        <v>1600</v>
      </c>
      <c r="AA335" s="117">
        <v>1600</v>
      </c>
      <c r="AC335" s="259"/>
      <c r="AE335" s="26">
        <v>1600</v>
      </c>
      <c r="AF335" s="200">
        <v>350.36</v>
      </c>
      <c r="AH335" s="26">
        <v>1600</v>
      </c>
      <c r="AI335" s="244"/>
      <c r="AJ335" s="16">
        <f t="shared" si="165"/>
        <v>1600</v>
      </c>
      <c r="AK335" s="122">
        <f t="shared" si="166"/>
        <v>0</v>
      </c>
      <c r="AM335" s="117">
        <v>1600</v>
      </c>
      <c r="AN335" s="117">
        <v>1600</v>
      </c>
      <c r="AP335" s="259"/>
      <c r="AR335" s="26">
        <v>1600</v>
      </c>
      <c r="AS335" s="26">
        <v>1205.3900000000001</v>
      </c>
      <c r="AU335" s="26">
        <f t="shared" si="167"/>
        <v>1600</v>
      </c>
      <c r="AV335" s="248"/>
      <c r="AW335" s="16">
        <f t="shared" si="168"/>
        <v>1600</v>
      </c>
      <c r="AX335" s="122">
        <f t="shared" si="169"/>
        <v>0</v>
      </c>
      <c r="AZ335" s="117">
        <v>1600</v>
      </c>
      <c r="BA335" s="117">
        <v>1600</v>
      </c>
      <c r="BC335" s="259"/>
      <c r="BE335" s="26">
        <v>1600</v>
      </c>
      <c r="BF335" s="26">
        <v>1377.27</v>
      </c>
      <c r="BH335" s="26">
        <v>1600</v>
      </c>
      <c r="BI335" s="248">
        <v>-595</v>
      </c>
      <c r="BJ335" s="16">
        <f t="shared" si="170"/>
        <v>1005</v>
      </c>
      <c r="BK335" s="122">
        <f t="shared" si="171"/>
        <v>-0.37187500000000001</v>
      </c>
      <c r="BM335" s="117">
        <v>1005</v>
      </c>
      <c r="BN335" s="117">
        <v>1005</v>
      </c>
      <c r="BP335" s="259"/>
      <c r="BR335" s="117">
        <v>1005</v>
      </c>
      <c r="BS335" s="26">
        <v>845.15</v>
      </c>
      <c r="BU335" s="26">
        <v>1005</v>
      </c>
      <c r="BV335" s="535"/>
      <c r="BW335" s="576">
        <f t="shared" si="172"/>
        <v>1005</v>
      </c>
      <c r="BX335" s="577">
        <f t="shared" si="173"/>
        <v>0</v>
      </c>
      <c r="BZ335" s="166">
        <v>1005</v>
      </c>
      <c r="CA335" s="166">
        <v>1005</v>
      </c>
      <c r="CC335" s="430" t="s">
        <v>1395</v>
      </c>
      <c r="CE335" s="166">
        <v>1005</v>
      </c>
      <c r="CF335" s="166"/>
      <c r="CO335" s="16"/>
    </row>
    <row r="336" spans="1:93" x14ac:dyDescent="0.3">
      <c r="A336" s="11">
        <v>210</v>
      </c>
      <c r="B336" s="3" t="s">
        <v>2</v>
      </c>
      <c r="C336" s="37">
        <v>21005</v>
      </c>
      <c r="D336" s="37">
        <v>54800</v>
      </c>
      <c r="E336" s="49" t="s">
        <v>118</v>
      </c>
      <c r="F336" s="3" t="s">
        <v>2</v>
      </c>
      <c r="G336" s="3" t="s">
        <v>86</v>
      </c>
      <c r="H336" s="26">
        <v>4500</v>
      </c>
      <c r="I336" s="244"/>
      <c r="J336" s="16">
        <f t="shared" si="161"/>
        <v>4500</v>
      </c>
      <c r="K336" s="122">
        <f t="shared" si="162"/>
        <v>0</v>
      </c>
      <c r="M336" s="117">
        <v>4500</v>
      </c>
      <c r="N336" s="117">
        <v>4500</v>
      </c>
      <c r="P336" s="259"/>
      <c r="R336" s="26">
        <v>4500</v>
      </c>
      <c r="S336" s="26">
        <v>1841.59</v>
      </c>
      <c r="U336" s="26">
        <v>4500</v>
      </c>
      <c r="V336" s="244">
        <v>0</v>
      </c>
      <c r="W336" s="16">
        <f t="shared" si="163"/>
        <v>4500</v>
      </c>
      <c r="X336" s="122">
        <f t="shared" si="164"/>
        <v>0</v>
      </c>
      <c r="Z336" s="117">
        <v>4500</v>
      </c>
      <c r="AA336" s="117">
        <v>4500</v>
      </c>
      <c r="AC336" s="259"/>
      <c r="AE336" s="26">
        <v>4500</v>
      </c>
      <c r="AF336" s="200">
        <v>4305.09</v>
      </c>
      <c r="AH336" s="26">
        <v>4500</v>
      </c>
      <c r="AI336" s="244">
        <v>-1000</v>
      </c>
      <c r="AJ336" s="16">
        <f t="shared" si="165"/>
        <v>3500</v>
      </c>
      <c r="AK336" s="122">
        <f t="shared" si="166"/>
        <v>-0.22222222222222221</v>
      </c>
      <c r="AM336" s="117">
        <v>3500</v>
      </c>
      <c r="AN336" s="117">
        <v>3500</v>
      </c>
      <c r="AP336" s="259"/>
      <c r="AR336" s="26">
        <v>3500</v>
      </c>
      <c r="AS336" s="26">
        <v>2246.71</v>
      </c>
      <c r="AU336" s="26">
        <f t="shared" si="167"/>
        <v>3500</v>
      </c>
      <c r="AV336" s="248"/>
      <c r="AW336" s="16">
        <f t="shared" si="168"/>
        <v>3500</v>
      </c>
      <c r="AX336" s="122">
        <f t="shared" si="169"/>
        <v>0</v>
      </c>
      <c r="AZ336" s="117">
        <v>3500</v>
      </c>
      <c r="BA336" s="117">
        <v>3500</v>
      </c>
      <c r="BC336" s="259"/>
      <c r="BE336" s="26">
        <v>3500</v>
      </c>
      <c r="BF336" s="26">
        <v>69.239999999999995</v>
      </c>
      <c r="BH336" s="26">
        <v>3500</v>
      </c>
      <c r="BI336" s="248">
        <v>-3500</v>
      </c>
      <c r="BJ336" s="16">
        <f t="shared" si="170"/>
        <v>0</v>
      </c>
      <c r="BK336" s="122">
        <f t="shared" si="171"/>
        <v>-1</v>
      </c>
      <c r="BM336" s="117">
        <v>0</v>
      </c>
      <c r="BN336" s="117">
        <v>0</v>
      </c>
      <c r="BP336" s="259"/>
      <c r="BR336" s="117">
        <v>0</v>
      </c>
      <c r="BS336" s="26"/>
      <c r="BU336" s="26">
        <v>0</v>
      </c>
      <c r="BV336" s="535"/>
      <c r="BW336" s="576">
        <f t="shared" si="172"/>
        <v>0</v>
      </c>
      <c r="BX336" s="577" t="str">
        <f t="shared" si="173"/>
        <v xml:space="preserve"> </v>
      </c>
      <c r="BZ336" s="166">
        <v>0</v>
      </c>
      <c r="CA336" s="166">
        <v>0</v>
      </c>
      <c r="CC336" s="753"/>
      <c r="CE336" s="166">
        <v>0</v>
      </c>
      <c r="CF336" s="166"/>
      <c r="CO336" s="16"/>
    </row>
    <row r="337" spans="1:93" x14ac:dyDescent="0.3">
      <c r="A337" s="11">
        <v>210</v>
      </c>
      <c r="B337" s="3" t="s">
        <v>2</v>
      </c>
      <c r="C337" s="37">
        <v>21005</v>
      </c>
      <c r="D337" s="37">
        <v>55100</v>
      </c>
      <c r="E337" s="49" t="s">
        <v>118</v>
      </c>
      <c r="F337" s="3" t="s">
        <v>2</v>
      </c>
      <c r="G337" s="3" t="s">
        <v>64</v>
      </c>
      <c r="H337" s="26">
        <v>8500</v>
      </c>
      <c r="I337" s="244"/>
      <c r="J337" s="16">
        <f t="shared" si="161"/>
        <v>8500</v>
      </c>
      <c r="K337" s="122">
        <f t="shared" si="162"/>
        <v>0</v>
      </c>
      <c r="M337" s="117">
        <v>8500</v>
      </c>
      <c r="N337" s="117">
        <v>8500</v>
      </c>
      <c r="P337" s="259"/>
      <c r="R337" s="26">
        <v>8500</v>
      </c>
      <c r="S337" s="26">
        <v>15196.81</v>
      </c>
      <c r="U337" s="26">
        <v>8500</v>
      </c>
      <c r="V337" s="244">
        <v>740</v>
      </c>
      <c r="W337" s="16">
        <f t="shared" si="163"/>
        <v>9240</v>
      </c>
      <c r="X337" s="122">
        <f t="shared" si="164"/>
        <v>8.7058823529411758E-2</v>
      </c>
      <c r="Z337" s="117">
        <v>9240</v>
      </c>
      <c r="AA337" s="117">
        <v>9240</v>
      </c>
      <c r="AC337" s="259"/>
      <c r="AE337" s="26">
        <v>9240</v>
      </c>
      <c r="AF337" s="200">
        <v>3894.31</v>
      </c>
      <c r="AH337" s="26">
        <v>9240</v>
      </c>
      <c r="AI337" s="244">
        <v>-5240</v>
      </c>
      <c r="AJ337" s="16">
        <f t="shared" si="165"/>
        <v>4000</v>
      </c>
      <c r="AK337" s="122">
        <f t="shared" si="166"/>
        <v>-0.5670995670995671</v>
      </c>
      <c r="AM337" s="117">
        <v>4000</v>
      </c>
      <c r="AN337" s="117">
        <v>4000</v>
      </c>
      <c r="AP337" s="259"/>
      <c r="AR337" s="26">
        <v>4000</v>
      </c>
      <c r="AS337" s="26">
        <v>1413.95</v>
      </c>
      <c r="AU337" s="26">
        <f t="shared" si="167"/>
        <v>4000</v>
      </c>
      <c r="AV337" s="248"/>
      <c r="AW337" s="16">
        <f t="shared" si="168"/>
        <v>4000</v>
      </c>
      <c r="AX337" s="122">
        <f t="shared" si="169"/>
        <v>0</v>
      </c>
      <c r="AZ337" s="117">
        <v>4000</v>
      </c>
      <c r="BA337" s="117">
        <v>4000</v>
      </c>
      <c r="BC337" s="259"/>
      <c r="BE337" s="26">
        <v>4000</v>
      </c>
      <c r="BF337" s="26">
        <v>6270.94</v>
      </c>
      <c r="BH337" s="26">
        <v>4000</v>
      </c>
      <c r="BI337" s="248">
        <v>3039</v>
      </c>
      <c r="BJ337" s="16">
        <f t="shared" si="170"/>
        <v>7039</v>
      </c>
      <c r="BK337" s="122">
        <f t="shared" si="171"/>
        <v>0.75975000000000004</v>
      </c>
      <c r="BM337" s="117">
        <v>7039</v>
      </c>
      <c r="BN337" s="117">
        <v>7039</v>
      </c>
      <c r="BP337" s="259"/>
      <c r="BR337" s="117">
        <v>7039</v>
      </c>
      <c r="BS337" s="26">
        <v>2661</v>
      </c>
      <c r="BU337" s="26">
        <v>7039</v>
      </c>
      <c r="BV337" s="535"/>
      <c r="BW337" s="576">
        <f t="shared" si="172"/>
        <v>7039</v>
      </c>
      <c r="BX337" s="577">
        <f t="shared" si="173"/>
        <v>0</v>
      </c>
      <c r="BZ337" s="166">
        <v>7039</v>
      </c>
      <c r="CA337" s="166">
        <v>7039</v>
      </c>
      <c r="CC337" s="753"/>
      <c r="CE337" s="166">
        <v>7039</v>
      </c>
      <c r="CF337" s="166"/>
      <c r="CO337" s="16"/>
    </row>
    <row r="338" spans="1:93" x14ac:dyDescent="0.3">
      <c r="A338" s="11">
        <v>210</v>
      </c>
      <c r="B338" s="3" t="s">
        <v>2</v>
      </c>
      <c r="C338" s="37">
        <v>21005</v>
      </c>
      <c r="D338" s="37">
        <v>55340</v>
      </c>
      <c r="E338" s="49" t="s">
        <v>118</v>
      </c>
      <c r="F338" s="3" t="s">
        <v>2</v>
      </c>
      <c r="G338" s="3" t="s">
        <v>65</v>
      </c>
      <c r="H338" s="26">
        <v>2000</v>
      </c>
      <c r="I338" s="244"/>
      <c r="J338" s="16">
        <f t="shared" si="161"/>
        <v>2000</v>
      </c>
      <c r="K338" s="122">
        <f t="shared" si="162"/>
        <v>0</v>
      </c>
      <c r="M338" s="117">
        <v>2000</v>
      </c>
      <c r="N338" s="117">
        <v>2000</v>
      </c>
      <c r="P338" s="259"/>
      <c r="R338" s="26">
        <v>2000</v>
      </c>
      <c r="S338" s="26">
        <v>2775.5</v>
      </c>
      <c r="U338" s="26">
        <v>2000</v>
      </c>
      <c r="V338" s="244">
        <v>0</v>
      </c>
      <c r="W338" s="16">
        <f t="shared" si="163"/>
        <v>2000</v>
      </c>
      <c r="X338" s="122">
        <f t="shared" si="164"/>
        <v>0</v>
      </c>
      <c r="Z338" s="117">
        <v>2000</v>
      </c>
      <c r="AA338" s="117">
        <v>2000</v>
      </c>
      <c r="AC338" s="259"/>
      <c r="AE338" s="26">
        <v>2000</v>
      </c>
      <c r="AF338" s="200">
        <v>730.8</v>
      </c>
      <c r="AH338" s="26">
        <v>2000</v>
      </c>
      <c r="AI338" s="244"/>
      <c r="AJ338" s="16">
        <f t="shared" si="165"/>
        <v>2000</v>
      </c>
      <c r="AK338" s="122">
        <f t="shared" si="166"/>
        <v>0</v>
      </c>
      <c r="AM338" s="117">
        <v>2000</v>
      </c>
      <c r="AN338" s="117">
        <v>2000</v>
      </c>
      <c r="AP338" s="259"/>
      <c r="AR338" s="26">
        <v>2000</v>
      </c>
      <c r="AS338" s="26">
        <v>700.17</v>
      </c>
      <c r="AU338" s="26">
        <f t="shared" si="167"/>
        <v>2000</v>
      </c>
      <c r="AV338" s="248"/>
      <c r="AW338" s="16">
        <f t="shared" si="168"/>
        <v>2000</v>
      </c>
      <c r="AX338" s="122">
        <f t="shared" si="169"/>
        <v>0</v>
      </c>
      <c r="AZ338" s="117">
        <v>2000</v>
      </c>
      <c r="BA338" s="117">
        <v>2000</v>
      </c>
      <c r="BC338" s="259"/>
      <c r="BE338" s="26">
        <v>2000</v>
      </c>
      <c r="BF338" s="26">
        <v>2233.42</v>
      </c>
      <c r="BH338" s="26">
        <v>2000</v>
      </c>
      <c r="BI338" s="248"/>
      <c r="BJ338" s="16">
        <f t="shared" si="170"/>
        <v>2000</v>
      </c>
      <c r="BK338" s="122">
        <f t="shared" si="171"/>
        <v>0</v>
      </c>
      <c r="BM338" s="117">
        <v>2000</v>
      </c>
      <c r="BN338" s="117">
        <v>2000</v>
      </c>
      <c r="BP338" s="259"/>
      <c r="BR338" s="117">
        <v>2000</v>
      </c>
      <c r="BS338" s="26">
        <v>1996.98</v>
      </c>
      <c r="BU338" s="26">
        <v>2000</v>
      </c>
      <c r="BV338" s="535"/>
      <c r="BW338" s="576">
        <f t="shared" si="172"/>
        <v>2000</v>
      </c>
      <c r="BX338" s="577">
        <f t="shared" si="173"/>
        <v>0</v>
      </c>
      <c r="BZ338" s="166">
        <v>2000</v>
      </c>
      <c r="CA338" s="166">
        <v>2000</v>
      </c>
      <c r="CC338" s="753"/>
      <c r="CE338" s="166">
        <v>2000</v>
      </c>
      <c r="CF338" s="166"/>
      <c r="CO338" s="16"/>
    </row>
    <row r="339" spans="1:93" x14ac:dyDescent="0.3">
      <c r="A339" s="11">
        <v>210</v>
      </c>
      <c r="B339" s="3" t="s">
        <v>2</v>
      </c>
      <c r="C339" s="37">
        <v>21005</v>
      </c>
      <c r="D339" s="37">
        <v>55800</v>
      </c>
      <c r="E339" s="49" t="s">
        <v>118</v>
      </c>
      <c r="F339" s="3" t="s">
        <v>2</v>
      </c>
      <c r="G339" s="3" t="s">
        <v>1456</v>
      </c>
      <c r="H339" s="26">
        <v>3713</v>
      </c>
      <c r="I339" s="244"/>
      <c r="J339" s="16">
        <f t="shared" si="161"/>
        <v>3713</v>
      </c>
      <c r="K339" s="122">
        <f t="shared" si="162"/>
        <v>0</v>
      </c>
      <c r="M339" s="117">
        <v>3713</v>
      </c>
      <c r="N339" s="117">
        <v>3713</v>
      </c>
      <c r="P339" s="259"/>
      <c r="R339" s="26">
        <v>3713</v>
      </c>
      <c r="S339" s="26">
        <v>3021.78</v>
      </c>
      <c r="U339" s="26">
        <v>3713</v>
      </c>
      <c r="V339" s="244">
        <v>0</v>
      </c>
      <c r="W339" s="16">
        <f t="shared" si="163"/>
        <v>3713</v>
      </c>
      <c r="X339" s="122">
        <f t="shared" si="164"/>
        <v>0</v>
      </c>
      <c r="Z339" s="117">
        <v>3713</v>
      </c>
      <c r="AA339" s="117">
        <v>3713</v>
      </c>
      <c r="AC339" s="259"/>
      <c r="AE339" s="26">
        <v>3713</v>
      </c>
      <c r="AF339" s="200">
        <v>3579.43</v>
      </c>
      <c r="AH339" s="26">
        <v>3713</v>
      </c>
      <c r="AI339" s="244"/>
      <c r="AJ339" s="16">
        <f t="shared" si="165"/>
        <v>3713</v>
      </c>
      <c r="AK339" s="122">
        <f t="shared" si="166"/>
        <v>0</v>
      </c>
      <c r="AM339" s="117">
        <v>3713</v>
      </c>
      <c r="AN339" s="117">
        <v>3713</v>
      </c>
      <c r="AP339" s="259"/>
      <c r="AR339" s="26">
        <v>3713</v>
      </c>
      <c r="AS339" s="26">
        <v>936.56</v>
      </c>
      <c r="AU339" s="26">
        <f t="shared" si="167"/>
        <v>3713</v>
      </c>
      <c r="AV339" s="248"/>
      <c r="AW339" s="16">
        <f t="shared" si="168"/>
        <v>3713</v>
      </c>
      <c r="AX339" s="122">
        <f t="shared" si="169"/>
        <v>0</v>
      </c>
      <c r="AZ339" s="117">
        <v>3713</v>
      </c>
      <c r="BA339" s="117">
        <v>3713</v>
      </c>
      <c r="BC339" s="259"/>
      <c r="BE339" s="26">
        <v>3713</v>
      </c>
      <c r="BF339" s="26">
        <v>0</v>
      </c>
      <c r="BH339" s="26">
        <v>3713</v>
      </c>
      <c r="BI339" s="248">
        <v>-3713</v>
      </c>
      <c r="BJ339" s="16">
        <f t="shared" si="170"/>
        <v>0</v>
      </c>
      <c r="BK339" s="122">
        <f t="shared" si="171"/>
        <v>-1</v>
      </c>
      <c r="BM339" s="117">
        <v>0</v>
      </c>
      <c r="BN339" s="117">
        <v>0</v>
      </c>
      <c r="BP339" s="259"/>
      <c r="BR339" s="117">
        <v>0</v>
      </c>
      <c r="BS339" s="26"/>
      <c r="BU339" s="26">
        <v>0</v>
      </c>
      <c r="BV339" s="535"/>
      <c r="BW339" s="576">
        <f t="shared" si="172"/>
        <v>0</v>
      </c>
      <c r="BX339" s="577" t="str">
        <f t="shared" si="173"/>
        <v xml:space="preserve"> </v>
      </c>
      <c r="BZ339" s="166">
        <v>0</v>
      </c>
      <c r="CA339" s="166">
        <v>0</v>
      </c>
      <c r="CC339" s="753"/>
      <c r="CE339" s="166">
        <v>0</v>
      </c>
      <c r="CF339" s="166"/>
      <c r="CO339" s="16"/>
    </row>
    <row r="340" spans="1:93" x14ac:dyDescent="0.3">
      <c r="A340" s="11">
        <v>210</v>
      </c>
      <c r="B340" s="3" t="s">
        <v>2</v>
      </c>
      <c r="C340" s="37">
        <v>21005</v>
      </c>
      <c r="D340" s="37">
        <v>55820</v>
      </c>
      <c r="E340" s="49" t="s">
        <v>118</v>
      </c>
      <c r="F340" s="3" t="s">
        <v>2</v>
      </c>
      <c r="G340" s="3" t="s">
        <v>731</v>
      </c>
      <c r="H340" s="26">
        <v>24500</v>
      </c>
      <c r="I340" s="244"/>
      <c r="J340" s="16">
        <f>H340+I340</f>
        <v>24500</v>
      </c>
      <c r="K340" s="122">
        <f>IF(H340=0," ",(J340-H340)/H340)</f>
        <v>0</v>
      </c>
      <c r="M340" s="117">
        <v>24500</v>
      </c>
      <c r="N340" s="117">
        <v>24500</v>
      </c>
      <c r="P340" s="259"/>
      <c r="R340" s="26">
        <v>24500</v>
      </c>
      <c r="S340" s="26">
        <v>25018.69</v>
      </c>
      <c r="U340" s="26">
        <v>24500</v>
      </c>
      <c r="V340" s="244">
        <v>-15000</v>
      </c>
      <c r="W340" s="16">
        <f>U340+V340</f>
        <v>9500</v>
      </c>
      <c r="X340" s="122">
        <f>IF(U340=0," ",(W340-U340)/U340)</f>
        <v>-0.61224489795918369</v>
      </c>
      <c r="Z340" s="117">
        <v>9500</v>
      </c>
      <c r="AA340" s="117">
        <v>9500</v>
      </c>
      <c r="AC340" s="221" t="s">
        <v>725</v>
      </c>
      <c r="AE340" s="26">
        <v>9500</v>
      </c>
      <c r="AF340" s="200">
        <v>7256.72</v>
      </c>
      <c r="AH340" s="26">
        <v>9500</v>
      </c>
      <c r="AI340" s="244">
        <v>-7000</v>
      </c>
      <c r="AJ340" s="16">
        <f>AH340+AI340</f>
        <v>2500</v>
      </c>
      <c r="AK340" s="122">
        <f>IF(AH340=0," ",(AJ340-AH340)/AH340)</f>
        <v>-0.73684210526315785</v>
      </c>
      <c r="AM340" s="117">
        <v>2500</v>
      </c>
      <c r="AN340" s="117">
        <v>2500</v>
      </c>
      <c r="AP340" s="221" t="s">
        <v>846</v>
      </c>
      <c r="AR340" s="26">
        <v>2500</v>
      </c>
      <c r="AS340" s="26">
        <v>4951.49</v>
      </c>
      <c r="AU340" s="26">
        <f t="shared" si="167"/>
        <v>2500</v>
      </c>
      <c r="AV340" s="248"/>
      <c r="AW340" s="16">
        <f>AU340+AV340</f>
        <v>2500</v>
      </c>
      <c r="AX340" s="122">
        <f>IF(AU340=0," ",(AW340-AU340)/AU340)</f>
        <v>0</v>
      </c>
      <c r="AZ340" s="117">
        <v>2500</v>
      </c>
      <c r="BA340" s="117">
        <v>2500</v>
      </c>
      <c r="BC340" s="221"/>
      <c r="BE340" s="26">
        <v>2500</v>
      </c>
      <c r="BF340" s="26">
        <v>6469.21</v>
      </c>
      <c r="BH340" s="26">
        <v>2500</v>
      </c>
      <c r="BI340" s="248">
        <v>-2332</v>
      </c>
      <c r="BJ340" s="16">
        <f>BH340+BI340</f>
        <v>168</v>
      </c>
      <c r="BK340" s="122">
        <f>IF(BH340=0," ",(BJ340-BH340)/BH340)</f>
        <v>-0.93279999999999996</v>
      </c>
      <c r="BM340" s="117">
        <v>168</v>
      </c>
      <c r="BN340" s="117">
        <v>168</v>
      </c>
      <c r="BP340" s="221"/>
      <c r="BR340" s="117">
        <v>168</v>
      </c>
      <c r="BS340" s="26">
        <v>1509</v>
      </c>
      <c r="BU340" s="26">
        <v>168</v>
      </c>
      <c r="BV340" s="535"/>
      <c r="BW340" s="576">
        <f>BU340+BV340</f>
        <v>168</v>
      </c>
      <c r="BX340" s="577">
        <f>IF(BU340=0," ",(BW340-BU340)/BU340)</f>
        <v>0</v>
      </c>
      <c r="BZ340" s="166">
        <v>168</v>
      </c>
      <c r="CA340" s="166">
        <v>168</v>
      </c>
      <c r="CC340" s="430" t="s">
        <v>1398</v>
      </c>
      <c r="CE340" s="166">
        <v>168</v>
      </c>
      <c r="CF340" s="166"/>
      <c r="CO340" s="16"/>
    </row>
    <row r="341" spans="1:93" x14ac:dyDescent="0.3">
      <c r="A341" s="11">
        <v>210</v>
      </c>
      <c r="B341" s="3" t="s">
        <v>2</v>
      </c>
      <c r="C341" s="37">
        <v>21005</v>
      </c>
      <c r="D341" s="37">
        <v>55850</v>
      </c>
      <c r="E341" s="49" t="s">
        <v>118</v>
      </c>
      <c r="F341" s="3" t="s">
        <v>2</v>
      </c>
      <c r="G341" s="3" t="s">
        <v>66</v>
      </c>
      <c r="H341" s="26">
        <v>1200</v>
      </c>
      <c r="I341" s="244">
        <v>2500</v>
      </c>
      <c r="J341" s="16">
        <f t="shared" si="161"/>
        <v>3700</v>
      </c>
      <c r="K341" s="122">
        <f t="shared" si="162"/>
        <v>2.0833333333333335</v>
      </c>
      <c r="M341" s="117">
        <v>3700</v>
      </c>
      <c r="N341" s="117">
        <v>3700</v>
      </c>
      <c r="P341" s="259" t="s">
        <v>576</v>
      </c>
      <c r="R341" s="26">
        <v>3700</v>
      </c>
      <c r="S341" s="26">
        <v>2785</v>
      </c>
      <c r="U341" s="26">
        <v>3700</v>
      </c>
      <c r="V341" s="244">
        <v>0</v>
      </c>
      <c r="W341" s="16">
        <f t="shared" si="163"/>
        <v>3700</v>
      </c>
      <c r="X341" s="122">
        <f t="shared" si="164"/>
        <v>0</v>
      </c>
      <c r="Z341" s="117">
        <v>3700</v>
      </c>
      <c r="AA341" s="117">
        <v>3700</v>
      </c>
      <c r="AC341" s="259"/>
      <c r="AE341" s="26">
        <v>3700</v>
      </c>
      <c r="AF341" s="200">
        <v>800.85</v>
      </c>
      <c r="AH341" s="26">
        <v>3700</v>
      </c>
      <c r="AI341" s="244"/>
      <c r="AJ341" s="16">
        <f t="shared" si="165"/>
        <v>3700</v>
      </c>
      <c r="AK341" s="122">
        <f t="shared" si="166"/>
        <v>0</v>
      </c>
      <c r="AM341" s="117">
        <v>3700</v>
      </c>
      <c r="AN341" s="117">
        <v>3700</v>
      </c>
      <c r="AP341" s="259"/>
      <c r="AR341" s="26">
        <v>3700</v>
      </c>
      <c r="AS341" s="26">
        <v>0</v>
      </c>
      <c r="AU341" s="26">
        <f t="shared" si="167"/>
        <v>3700</v>
      </c>
      <c r="AV341" s="248"/>
      <c r="AW341" s="16">
        <f t="shared" si="168"/>
        <v>3700</v>
      </c>
      <c r="AX341" s="122">
        <f t="shared" si="169"/>
        <v>0</v>
      </c>
      <c r="AZ341" s="117">
        <v>3700</v>
      </c>
      <c r="BA341" s="117">
        <v>3700</v>
      </c>
      <c r="BC341" s="259"/>
      <c r="BE341" s="26">
        <v>3700</v>
      </c>
      <c r="BF341" s="26">
        <v>0</v>
      </c>
      <c r="BH341" s="26">
        <v>3700</v>
      </c>
      <c r="BI341" s="248">
        <v>-3700</v>
      </c>
      <c r="BJ341" s="16">
        <f t="shared" ref="BJ341:BJ349" si="176">BH341+BI341</f>
        <v>0</v>
      </c>
      <c r="BK341" s="122">
        <f t="shared" ref="BK341:BK349" si="177">IF(BH341=0," ",(BJ341-BH341)/BH341)</f>
        <v>-1</v>
      </c>
      <c r="BM341" s="117">
        <v>0</v>
      </c>
      <c r="BN341" s="117">
        <v>0</v>
      </c>
      <c r="BP341" s="259"/>
      <c r="BR341" s="117">
        <v>0</v>
      </c>
      <c r="BS341" s="26"/>
      <c r="BU341" s="26">
        <v>0</v>
      </c>
      <c r="BV341" s="535"/>
      <c r="BW341" s="576">
        <f t="shared" ref="BW341:BW351" si="178">BU341+BV341</f>
        <v>0</v>
      </c>
      <c r="BX341" s="577" t="str">
        <f t="shared" ref="BX341:BX349" si="179">IF(BU341=0," ",(BW341-BU341)/BU341)</f>
        <v xml:space="preserve"> </v>
      </c>
      <c r="BZ341" s="166">
        <v>0</v>
      </c>
      <c r="CA341" s="166">
        <v>0</v>
      </c>
      <c r="CC341" s="753"/>
      <c r="CE341" s="166">
        <v>0</v>
      </c>
      <c r="CF341" s="166"/>
      <c r="CO341" s="16"/>
    </row>
    <row r="342" spans="1:93" x14ac:dyDescent="0.3">
      <c r="A342" s="11">
        <v>210</v>
      </c>
      <c r="B342" s="3" t="s">
        <v>2</v>
      </c>
      <c r="C342" s="37">
        <v>21005</v>
      </c>
      <c r="D342" s="37">
        <v>55880</v>
      </c>
      <c r="E342" s="49" t="s">
        <v>118</v>
      </c>
      <c r="F342" s="3" t="s">
        <v>2</v>
      </c>
      <c r="G342" s="3" t="s">
        <v>634</v>
      </c>
      <c r="H342" s="26"/>
      <c r="I342" s="244"/>
      <c r="J342" s="16">
        <f>H342+I342</f>
        <v>0</v>
      </c>
      <c r="K342" s="122" t="str">
        <f>IF(H342=0," ",(J342-H342)/H342)</f>
        <v xml:space="preserve"> </v>
      </c>
      <c r="M342" s="117"/>
      <c r="N342" s="117">
        <v>0</v>
      </c>
      <c r="P342" s="259"/>
      <c r="R342" s="26"/>
      <c r="S342" s="26">
        <v>3265.25</v>
      </c>
      <c r="U342" s="26"/>
      <c r="V342" s="244">
        <v>0</v>
      </c>
      <c r="W342" s="16">
        <f>U342+V342</f>
        <v>0</v>
      </c>
      <c r="X342" s="122" t="str">
        <f>IF(U342=0," ",(W342-U342)/U342)</f>
        <v xml:space="preserve"> </v>
      </c>
      <c r="Z342" s="117">
        <v>0</v>
      </c>
      <c r="AA342" s="117">
        <v>0</v>
      </c>
      <c r="AC342" s="259"/>
      <c r="AE342" s="26">
        <v>0</v>
      </c>
      <c r="AF342" s="200">
        <v>175.98</v>
      </c>
      <c r="AH342" s="26">
        <v>0</v>
      </c>
      <c r="AI342" s="244">
        <v>1000</v>
      </c>
      <c r="AJ342" s="16">
        <f t="shared" si="165"/>
        <v>1000</v>
      </c>
      <c r="AK342" s="122" t="str">
        <f t="shared" si="166"/>
        <v xml:space="preserve"> </v>
      </c>
      <c r="AM342" s="117">
        <v>1000</v>
      </c>
      <c r="AN342" s="117">
        <v>1000</v>
      </c>
      <c r="AP342" s="266"/>
      <c r="AR342" s="26">
        <v>1000</v>
      </c>
      <c r="AS342" s="26">
        <v>537.83000000000004</v>
      </c>
      <c r="AU342" s="26">
        <f t="shared" si="167"/>
        <v>1000</v>
      </c>
      <c r="AV342" s="248"/>
      <c r="AW342" s="16">
        <f t="shared" si="168"/>
        <v>1000</v>
      </c>
      <c r="AX342" s="122">
        <f t="shared" si="169"/>
        <v>0</v>
      </c>
      <c r="AZ342" s="117">
        <v>1000</v>
      </c>
      <c r="BA342" s="117">
        <v>1000</v>
      </c>
      <c r="BC342" s="266"/>
      <c r="BE342" s="26">
        <v>1000</v>
      </c>
      <c r="BF342" s="26">
        <v>1404.28</v>
      </c>
      <c r="BH342" s="26">
        <v>1000</v>
      </c>
      <c r="BI342" s="248">
        <v>8070</v>
      </c>
      <c r="BJ342" s="16">
        <f t="shared" si="176"/>
        <v>9070</v>
      </c>
      <c r="BK342" s="122">
        <f t="shared" si="177"/>
        <v>8.07</v>
      </c>
      <c r="BM342" s="117">
        <v>9070</v>
      </c>
      <c r="BN342" s="117">
        <f>9070-4900</f>
        <v>4170</v>
      </c>
      <c r="BP342" s="259"/>
      <c r="BR342" s="117">
        <f>9070-4900</f>
        <v>4170</v>
      </c>
      <c r="BS342" s="26">
        <v>183.7</v>
      </c>
      <c r="BU342" s="26">
        <f>9070-4900</f>
        <v>4170</v>
      </c>
      <c r="BV342" s="535"/>
      <c r="BW342" s="576">
        <f t="shared" si="178"/>
        <v>4170</v>
      </c>
      <c r="BX342" s="577">
        <f t="shared" si="179"/>
        <v>0</v>
      </c>
      <c r="BZ342" s="166">
        <v>4170</v>
      </c>
      <c r="CA342" s="166">
        <v>4170</v>
      </c>
      <c r="CC342" s="753"/>
      <c r="CE342" s="166">
        <v>4170</v>
      </c>
      <c r="CF342" s="166"/>
      <c r="CO342" s="16"/>
    </row>
    <row r="343" spans="1:93" x14ac:dyDescent="0.3">
      <c r="A343" s="11">
        <v>210</v>
      </c>
      <c r="B343" s="3" t="s">
        <v>2</v>
      </c>
      <c r="C343" s="37">
        <v>21005</v>
      </c>
      <c r="D343" s="37">
        <v>57100</v>
      </c>
      <c r="E343" s="49" t="s">
        <v>118</v>
      </c>
      <c r="F343" s="3" t="s">
        <v>2</v>
      </c>
      <c r="G343" s="3" t="s">
        <v>635</v>
      </c>
      <c r="H343" s="26">
        <v>1000</v>
      </c>
      <c r="I343" s="244"/>
      <c r="J343" s="16">
        <f t="shared" si="161"/>
        <v>1000</v>
      </c>
      <c r="K343" s="122">
        <f t="shared" si="162"/>
        <v>0</v>
      </c>
      <c r="M343" s="117">
        <v>1000</v>
      </c>
      <c r="N343" s="117">
        <v>1000</v>
      </c>
      <c r="P343" s="259"/>
      <c r="R343" s="26">
        <v>1000</v>
      </c>
      <c r="S343" s="26">
        <v>591.85</v>
      </c>
      <c r="U343" s="26">
        <v>1000</v>
      </c>
      <c r="V343" s="244">
        <v>0</v>
      </c>
      <c r="W343" s="16">
        <f t="shared" si="163"/>
        <v>1000</v>
      </c>
      <c r="X343" s="122">
        <f t="shared" si="164"/>
        <v>0</v>
      </c>
      <c r="Z343" s="117">
        <v>1000</v>
      </c>
      <c r="AA343" s="117">
        <v>1000</v>
      </c>
      <c r="AC343" s="259"/>
      <c r="AE343" s="26">
        <v>1000</v>
      </c>
      <c r="AF343" s="200">
        <v>301.3</v>
      </c>
      <c r="AH343" s="26">
        <v>1000</v>
      </c>
      <c r="AI343" s="244"/>
      <c r="AJ343" s="16">
        <f t="shared" si="165"/>
        <v>1000</v>
      </c>
      <c r="AK343" s="122">
        <f t="shared" si="166"/>
        <v>0</v>
      </c>
      <c r="AM343" s="117">
        <v>1000</v>
      </c>
      <c r="AN343" s="117">
        <v>1000</v>
      </c>
      <c r="AP343" s="259"/>
      <c r="AR343" s="26">
        <v>1000</v>
      </c>
      <c r="AS343" s="26">
        <v>1463.27</v>
      </c>
      <c r="AU343" s="26">
        <f t="shared" si="167"/>
        <v>1000</v>
      </c>
      <c r="AV343" s="248"/>
      <c r="AW343" s="16">
        <f t="shared" si="168"/>
        <v>1000</v>
      </c>
      <c r="AX343" s="122">
        <f t="shared" si="169"/>
        <v>0</v>
      </c>
      <c r="AZ343" s="117">
        <v>1000</v>
      </c>
      <c r="BA343" s="117">
        <v>1000</v>
      </c>
      <c r="BC343" s="259"/>
      <c r="BE343" s="26">
        <v>1000</v>
      </c>
      <c r="BF343" s="26">
        <v>45.25</v>
      </c>
      <c r="BH343" s="26">
        <v>1000</v>
      </c>
      <c r="BI343" s="248">
        <v>465</v>
      </c>
      <c r="BJ343" s="16">
        <f t="shared" si="176"/>
        <v>1465</v>
      </c>
      <c r="BK343" s="122">
        <f t="shared" si="177"/>
        <v>0.46500000000000002</v>
      </c>
      <c r="BM343" s="117">
        <v>1465</v>
      </c>
      <c r="BN343" s="117">
        <v>1465</v>
      </c>
      <c r="BP343" s="259"/>
      <c r="BR343" s="117">
        <v>1465</v>
      </c>
      <c r="BS343" s="26">
        <v>419.82</v>
      </c>
      <c r="BU343" s="26">
        <v>1465</v>
      </c>
      <c r="BV343" s="535"/>
      <c r="BW343" s="576">
        <f t="shared" si="178"/>
        <v>1465</v>
      </c>
      <c r="BX343" s="577">
        <f t="shared" si="179"/>
        <v>0</v>
      </c>
      <c r="BZ343" s="166">
        <v>1465</v>
      </c>
      <c r="CA343" s="166">
        <v>1465</v>
      </c>
      <c r="CC343" s="753"/>
      <c r="CE343" s="166">
        <v>1465</v>
      </c>
      <c r="CF343" s="166"/>
      <c r="CO343" s="16"/>
    </row>
    <row r="344" spans="1:93" x14ac:dyDescent="0.3">
      <c r="A344" s="11">
        <v>210</v>
      </c>
      <c r="B344" s="3" t="s">
        <v>2</v>
      </c>
      <c r="C344" s="37">
        <v>21005</v>
      </c>
      <c r="D344" s="37">
        <v>57103</v>
      </c>
      <c r="E344" s="49" t="s">
        <v>118</v>
      </c>
      <c r="F344" s="3" t="s">
        <v>2</v>
      </c>
      <c r="G344" s="3" t="s">
        <v>1467</v>
      </c>
      <c r="H344" s="26">
        <v>2000</v>
      </c>
      <c r="I344" s="244"/>
      <c r="J344" s="16">
        <f t="shared" si="161"/>
        <v>2000</v>
      </c>
      <c r="K344" s="122">
        <f t="shared" si="162"/>
        <v>0</v>
      </c>
      <c r="M344" s="117">
        <v>2000</v>
      </c>
      <c r="N344" s="117">
        <v>2000</v>
      </c>
      <c r="P344" s="259"/>
      <c r="R344" s="26">
        <v>2000</v>
      </c>
      <c r="S344" s="26">
        <v>1985.91</v>
      </c>
      <c r="U344" s="26">
        <v>2000</v>
      </c>
      <c r="V344" s="244">
        <v>0</v>
      </c>
      <c r="W344" s="16">
        <f t="shared" si="163"/>
        <v>2000</v>
      </c>
      <c r="X344" s="122">
        <f t="shared" si="164"/>
        <v>0</v>
      </c>
      <c r="Z344" s="117">
        <v>2000</v>
      </c>
      <c r="AA344" s="117">
        <v>2000</v>
      </c>
      <c r="AC344" s="259"/>
      <c r="AE344" s="26">
        <v>2000</v>
      </c>
      <c r="AF344" s="200">
        <v>620</v>
      </c>
      <c r="AH344" s="26">
        <v>2000</v>
      </c>
      <c r="AI344" s="244"/>
      <c r="AJ344" s="16">
        <f t="shared" si="165"/>
        <v>2000</v>
      </c>
      <c r="AK344" s="122">
        <f t="shared" si="166"/>
        <v>0</v>
      </c>
      <c r="AM344" s="117">
        <v>2000</v>
      </c>
      <c r="AN344" s="117">
        <v>2000</v>
      </c>
      <c r="AP344" s="259"/>
      <c r="AR344" s="26">
        <v>2000</v>
      </c>
      <c r="AS344" s="26">
        <v>977.76</v>
      </c>
      <c r="AU344" s="26">
        <f t="shared" si="167"/>
        <v>2000</v>
      </c>
      <c r="AV344" s="248"/>
      <c r="AW344" s="16">
        <f t="shared" si="168"/>
        <v>2000</v>
      </c>
      <c r="AX344" s="122">
        <f t="shared" si="169"/>
        <v>0</v>
      </c>
      <c r="AZ344" s="117">
        <v>2000</v>
      </c>
      <c r="BA344" s="117">
        <v>2000</v>
      </c>
      <c r="BC344" s="259"/>
      <c r="BE344" s="26">
        <v>2000</v>
      </c>
      <c r="BF344" s="26">
        <v>200</v>
      </c>
      <c r="BH344" s="26">
        <v>2000</v>
      </c>
      <c r="BI344" s="248"/>
      <c r="BJ344" s="16">
        <f t="shared" si="176"/>
        <v>2000</v>
      </c>
      <c r="BK344" s="122">
        <f t="shared" si="177"/>
        <v>0</v>
      </c>
      <c r="BM344" s="117">
        <v>2000</v>
      </c>
      <c r="BN344" s="117">
        <v>2000</v>
      </c>
      <c r="BP344" s="259"/>
      <c r="BR344" s="117">
        <v>2000</v>
      </c>
      <c r="BS344" s="26">
        <v>350</v>
      </c>
      <c r="BU344" s="26">
        <v>2000</v>
      </c>
      <c r="BV344" s="535"/>
      <c r="BW344" s="576">
        <f t="shared" si="178"/>
        <v>2000</v>
      </c>
      <c r="BX344" s="577">
        <f t="shared" si="179"/>
        <v>0</v>
      </c>
      <c r="BZ344" s="166">
        <v>2000</v>
      </c>
      <c r="CA344" s="166">
        <v>2000</v>
      </c>
      <c r="CC344" s="753"/>
      <c r="CE344" s="166">
        <v>2000</v>
      </c>
      <c r="CF344" s="166"/>
      <c r="CO344" s="16"/>
    </row>
    <row r="345" spans="1:93" x14ac:dyDescent="0.3">
      <c r="A345" s="11">
        <v>210</v>
      </c>
      <c r="B345" s="3" t="s">
        <v>2</v>
      </c>
      <c r="C345" s="37">
        <v>21005</v>
      </c>
      <c r="D345" s="37">
        <v>57300</v>
      </c>
      <c r="E345" s="49" t="s">
        <v>118</v>
      </c>
      <c r="F345" s="3" t="s">
        <v>2</v>
      </c>
      <c r="G345" s="3" t="s">
        <v>67</v>
      </c>
      <c r="H345" s="26">
        <v>5120</v>
      </c>
      <c r="I345" s="244"/>
      <c r="J345" s="16">
        <f t="shared" si="161"/>
        <v>5120</v>
      </c>
      <c r="K345" s="122">
        <f t="shared" si="162"/>
        <v>0</v>
      </c>
      <c r="M345" s="117">
        <v>5120</v>
      </c>
      <c r="N345" s="117">
        <v>5120</v>
      </c>
      <c r="P345" s="259"/>
      <c r="R345" s="26">
        <v>5120</v>
      </c>
      <c r="S345" s="26">
        <v>6508.82</v>
      </c>
      <c r="U345" s="26">
        <v>5120</v>
      </c>
      <c r="V345" s="244">
        <v>0</v>
      </c>
      <c r="W345" s="16">
        <f t="shared" si="163"/>
        <v>5120</v>
      </c>
      <c r="X345" s="122">
        <f t="shared" si="164"/>
        <v>0</v>
      </c>
      <c r="Z345" s="117">
        <v>5120</v>
      </c>
      <c r="AA345" s="117">
        <v>5120</v>
      </c>
      <c r="AC345" s="259"/>
      <c r="AE345" s="26">
        <v>5120</v>
      </c>
      <c r="AF345" s="200">
        <v>5102.84</v>
      </c>
      <c r="AH345" s="26">
        <v>5120</v>
      </c>
      <c r="AI345" s="244"/>
      <c r="AJ345" s="16">
        <f t="shared" si="165"/>
        <v>5120</v>
      </c>
      <c r="AK345" s="122">
        <f t="shared" si="166"/>
        <v>0</v>
      </c>
      <c r="AM345" s="117">
        <v>5120</v>
      </c>
      <c r="AN345" s="117">
        <v>5120</v>
      </c>
      <c r="AP345" s="259"/>
      <c r="AR345" s="26">
        <v>5120</v>
      </c>
      <c r="AS345" s="26">
        <v>4699</v>
      </c>
      <c r="AU345" s="26">
        <f t="shared" si="167"/>
        <v>5120</v>
      </c>
      <c r="AV345" s="248"/>
      <c r="AW345" s="16">
        <f t="shared" si="168"/>
        <v>5120</v>
      </c>
      <c r="AX345" s="122">
        <f t="shared" si="169"/>
        <v>0</v>
      </c>
      <c r="AZ345" s="117">
        <v>5120</v>
      </c>
      <c r="BA345" s="117">
        <v>5120</v>
      </c>
      <c r="BC345" s="259"/>
      <c r="BE345" s="26">
        <v>5120</v>
      </c>
      <c r="BF345" s="26">
        <v>6307</v>
      </c>
      <c r="BH345" s="26">
        <v>5120</v>
      </c>
      <c r="BI345" s="248">
        <v>480</v>
      </c>
      <c r="BJ345" s="16">
        <f t="shared" si="176"/>
        <v>5600</v>
      </c>
      <c r="BK345" s="122">
        <f t="shared" si="177"/>
        <v>9.375E-2</v>
      </c>
      <c r="BM345" s="117">
        <v>5600</v>
      </c>
      <c r="BN345" s="117">
        <v>5600</v>
      </c>
      <c r="BP345" s="259"/>
      <c r="BR345" s="117">
        <v>5600</v>
      </c>
      <c r="BS345" s="26">
        <v>4950</v>
      </c>
      <c r="BU345" s="26">
        <v>5600</v>
      </c>
      <c r="BV345" s="535"/>
      <c r="BW345" s="576">
        <f t="shared" si="178"/>
        <v>5600</v>
      </c>
      <c r="BX345" s="577">
        <f t="shared" si="179"/>
        <v>0</v>
      </c>
      <c r="BZ345" s="166">
        <v>5600</v>
      </c>
      <c r="CA345" s="166">
        <v>5600</v>
      </c>
      <c r="CC345" s="753"/>
      <c r="CE345" s="166">
        <v>5600</v>
      </c>
      <c r="CF345" s="166"/>
      <c r="CO345" s="16"/>
    </row>
    <row r="346" spans="1:93" x14ac:dyDescent="0.3">
      <c r="A346" s="11">
        <v>210</v>
      </c>
      <c r="B346" s="3" t="s">
        <v>2</v>
      </c>
      <c r="C346" s="37">
        <v>21005</v>
      </c>
      <c r="D346" s="37">
        <v>57800</v>
      </c>
      <c r="E346" s="49" t="s">
        <v>118</v>
      </c>
      <c r="F346" s="3" t="s">
        <v>2</v>
      </c>
      <c r="G346" s="3" t="s">
        <v>1468</v>
      </c>
      <c r="H346" s="26">
        <v>3000</v>
      </c>
      <c r="I346" s="244"/>
      <c r="J346" s="16">
        <f t="shared" si="161"/>
        <v>3000</v>
      </c>
      <c r="K346" s="122">
        <f t="shared" si="162"/>
        <v>0</v>
      </c>
      <c r="M346" s="117">
        <v>3000</v>
      </c>
      <c r="N346" s="117">
        <v>3000</v>
      </c>
      <c r="P346" s="259"/>
      <c r="R346" s="26">
        <v>3000</v>
      </c>
      <c r="S346" s="26">
        <v>6213.88</v>
      </c>
      <c r="U346" s="26">
        <v>3000</v>
      </c>
      <c r="V346" s="244">
        <v>-1500</v>
      </c>
      <c r="W346" s="16">
        <f t="shared" si="163"/>
        <v>1500</v>
      </c>
      <c r="X346" s="122">
        <f t="shared" si="164"/>
        <v>-0.5</v>
      </c>
      <c r="Z346" s="117">
        <v>1500</v>
      </c>
      <c r="AA346" s="117">
        <v>1500</v>
      </c>
      <c r="AC346" s="259"/>
      <c r="AE346" s="26">
        <v>1500</v>
      </c>
      <c r="AF346" s="200">
        <v>9783.0300000000007</v>
      </c>
      <c r="AH346" s="26">
        <v>1500</v>
      </c>
      <c r="AI346" s="244">
        <v>5240</v>
      </c>
      <c r="AJ346" s="16">
        <f t="shared" si="165"/>
        <v>6740</v>
      </c>
      <c r="AK346" s="122">
        <f t="shared" si="166"/>
        <v>3.4933333333333332</v>
      </c>
      <c r="AM346" s="117">
        <v>6740</v>
      </c>
      <c r="AN346" s="117">
        <v>6740</v>
      </c>
      <c r="AP346" s="259"/>
      <c r="AR346" s="26">
        <v>6740</v>
      </c>
      <c r="AS346" s="26">
        <v>4368.3500000000004</v>
      </c>
      <c r="AU346" s="26">
        <f t="shared" si="167"/>
        <v>6740</v>
      </c>
      <c r="AV346" s="248"/>
      <c r="AW346" s="16">
        <f t="shared" si="168"/>
        <v>6740</v>
      </c>
      <c r="AX346" s="122">
        <f t="shared" si="169"/>
        <v>0</v>
      </c>
      <c r="AZ346" s="117">
        <v>6740</v>
      </c>
      <c r="BA346" s="117">
        <v>6740</v>
      </c>
      <c r="BC346" s="259"/>
      <c r="BE346" s="26">
        <v>6740</v>
      </c>
      <c r="BF346" s="26">
        <v>6604</v>
      </c>
      <c r="BH346" s="26">
        <v>6740</v>
      </c>
      <c r="BI346" s="248">
        <v>252</v>
      </c>
      <c r="BJ346" s="16">
        <f t="shared" si="176"/>
        <v>6992</v>
      </c>
      <c r="BK346" s="122">
        <f t="shared" si="177"/>
        <v>3.7388724035608306E-2</v>
      </c>
      <c r="BM346" s="117">
        <v>6992</v>
      </c>
      <c r="BN346" s="117">
        <v>6992</v>
      </c>
      <c r="BP346" s="259"/>
      <c r="BR346" s="117">
        <v>6992</v>
      </c>
      <c r="BS346" s="26"/>
      <c r="BU346" s="26">
        <v>6992</v>
      </c>
      <c r="BV346" s="535"/>
      <c r="BW346" s="576">
        <f t="shared" si="178"/>
        <v>6992</v>
      </c>
      <c r="BX346" s="577">
        <f t="shared" si="179"/>
        <v>0</v>
      </c>
      <c r="BZ346" s="166">
        <v>6992</v>
      </c>
      <c r="CA346" s="166">
        <v>6992</v>
      </c>
      <c r="CC346" s="753"/>
      <c r="CE346" s="166">
        <v>6992</v>
      </c>
      <c r="CF346" s="166"/>
      <c r="CO346" s="16"/>
    </row>
    <row r="347" spans="1:93" x14ac:dyDescent="0.3">
      <c r="A347" s="11">
        <v>210</v>
      </c>
      <c r="B347" s="3" t="s">
        <v>2</v>
      </c>
      <c r="C347" s="37">
        <v>21005</v>
      </c>
      <c r="D347" s="37">
        <v>57850</v>
      </c>
      <c r="E347" s="49" t="s">
        <v>118</v>
      </c>
      <c r="F347" s="3" t="s">
        <v>2</v>
      </c>
      <c r="G347" s="3" t="s">
        <v>1469</v>
      </c>
      <c r="H347" s="26">
        <v>700</v>
      </c>
      <c r="I347" s="244"/>
      <c r="J347" s="16">
        <f t="shared" si="161"/>
        <v>700</v>
      </c>
      <c r="K347" s="122">
        <f t="shared" si="162"/>
        <v>0</v>
      </c>
      <c r="M347" s="117">
        <v>700</v>
      </c>
      <c r="N347" s="117">
        <v>700</v>
      </c>
      <c r="P347" s="259"/>
      <c r="R347" s="26">
        <v>700</v>
      </c>
      <c r="S347" s="26">
        <v>1073.6300000000001</v>
      </c>
      <c r="U347" s="26">
        <v>700</v>
      </c>
      <c r="V347" s="244">
        <v>0</v>
      </c>
      <c r="W347" s="16">
        <f t="shared" si="163"/>
        <v>700</v>
      </c>
      <c r="X347" s="122">
        <f t="shared" si="164"/>
        <v>0</v>
      </c>
      <c r="Z347" s="117">
        <v>700</v>
      </c>
      <c r="AA347" s="117">
        <v>700</v>
      </c>
      <c r="AC347" s="259"/>
      <c r="AE347" s="26">
        <v>700</v>
      </c>
      <c r="AF347" s="200">
        <v>0</v>
      </c>
      <c r="AH347" s="26">
        <v>700</v>
      </c>
      <c r="AI347" s="244"/>
      <c r="AJ347" s="16">
        <f t="shared" si="165"/>
        <v>700</v>
      </c>
      <c r="AK347" s="122">
        <f t="shared" si="166"/>
        <v>0</v>
      </c>
      <c r="AM347" s="117">
        <v>700</v>
      </c>
      <c r="AN347" s="117">
        <v>700</v>
      </c>
      <c r="AP347" s="259"/>
      <c r="AR347" s="26">
        <v>700</v>
      </c>
      <c r="AS347" s="26">
        <v>0</v>
      </c>
      <c r="AU347" s="26">
        <f t="shared" si="167"/>
        <v>700</v>
      </c>
      <c r="AV347" s="248"/>
      <c r="AW347" s="16">
        <f t="shared" si="168"/>
        <v>700</v>
      </c>
      <c r="AX347" s="122">
        <f t="shared" si="169"/>
        <v>0</v>
      </c>
      <c r="AZ347" s="117">
        <v>700</v>
      </c>
      <c r="BA347" s="117">
        <v>700</v>
      </c>
      <c r="BC347" s="259"/>
      <c r="BE347" s="26">
        <v>700</v>
      </c>
      <c r="BF347" s="26">
        <v>24.61</v>
      </c>
      <c r="BH347" s="26">
        <v>700</v>
      </c>
      <c r="BI347" s="248">
        <v>-600</v>
      </c>
      <c r="BJ347" s="16">
        <f t="shared" si="176"/>
        <v>100</v>
      </c>
      <c r="BK347" s="122">
        <f t="shared" si="177"/>
        <v>-0.8571428571428571</v>
      </c>
      <c r="BM347" s="117">
        <v>100</v>
      </c>
      <c r="BN347" s="117">
        <v>100</v>
      </c>
      <c r="BP347" s="259"/>
      <c r="BR347" s="117">
        <v>100</v>
      </c>
      <c r="BS347" s="26"/>
      <c r="BU347" s="26">
        <v>100</v>
      </c>
      <c r="BV347" s="535"/>
      <c r="BW347" s="576">
        <f t="shared" si="178"/>
        <v>100</v>
      </c>
      <c r="BX347" s="577">
        <f t="shared" si="179"/>
        <v>0</v>
      </c>
      <c r="BZ347" s="166">
        <v>100</v>
      </c>
      <c r="CA347" s="166">
        <v>100</v>
      </c>
      <c r="CC347" s="753"/>
      <c r="CE347" s="166">
        <v>100</v>
      </c>
      <c r="CF347" s="166"/>
      <c r="CO347" s="16"/>
    </row>
    <row r="348" spans="1:93" x14ac:dyDescent="0.3">
      <c r="A348" s="11">
        <v>210</v>
      </c>
      <c r="B348" s="3" t="s">
        <v>2</v>
      </c>
      <c r="C348" s="37">
        <v>21005</v>
      </c>
      <c r="D348" s="37">
        <v>58510</v>
      </c>
      <c r="E348" s="49" t="s">
        <v>118</v>
      </c>
      <c r="F348" s="3" t="s">
        <v>2</v>
      </c>
      <c r="G348" s="3" t="s">
        <v>68</v>
      </c>
      <c r="H348" s="26">
        <v>900</v>
      </c>
      <c r="I348" s="244"/>
      <c r="J348" s="16">
        <f t="shared" si="161"/>
        <v>900</v>
      </c>
      <c r="K348" s="122">
        <f t="shared" si="162"/>
        <v>0</v>
      </c>
      <c r="M348" s="117">
        <v>900</v>
      </c>
      <c r="N348" s="117">
        <v>900</v>
      </c>
      <c r="P348" s="259"/>
      <c r="R348" s="26">
        <v>900</v>
      </c>
      <c r="S348" s="26">
        <v>5207.2</v>
      </c>
      <c r="U348" s="26">
        <v>900</v>
      </c>
      <c r="V348" s="244">
        <v>0</v>
      </c>
      <c r="W348" s="16">
        <f t="shared" si="163"/>
        <v>900</v>
      </c>
      <c r="X348" s="122">
        <f t="shared" si="164"/>
        <v>0</v>
      </c>
      <c r="Z348" s="117">
        <v>900</v>
      </c>
      <c r="AA348" s="117">
        <v>900</v>
      </c>
      <c r="AC348" s="259"/>
      <c r="AE348" s="26">
        <v>900</v>
      </c>
      <c r="AF348" s="200">
        <v>14544.8</v>
      </c>
      <c r="AH348" s="26">
        <v>900</v>
      </c>
      <c r="AI348" s="244"/>
      <c r="AJ348" s="16">
        <f t="shared" si="165"/>
        <v>900</v>
      </c>
      <c r="AK348" s="122">
        <f t="shared" si="166"/>
        <v>0</v>
      </c>
      <c r="AM348" s="117">
        <v>900</v>
      </c>
      <c r="AN348" s="117">
        <v>900</v>
      </c>
      <c r="AP348" s="259"/>
      <c r="AR348" s="26">
        <v>900</v>
      </c>
      <c r="AS348" s="26">
        <v>2461.59</v>
      </c>
      <c r="AU348" s="26">
        <f t="shared" si="167"/>
        <v>900</v>
      </c>
      <c r="AV348" s="248"/>
      <c r="AW348" s="16">
        <f t="shared" si="168"/>
        <v>900</v>
      </c>
      <c r="AX348" s="122">
        <f t="shared" si="169"/>
        <v>0</v>
      </c>
      <c r="AZ348" s="117">
        <v>900</v>
      </c>
      <c r="BA348" s="117">
        <v>900</v>
      </c>
      <c r="BC348" s="259"/>
      <c r="BE348" s="26">
        <v>900</v>
      </c>
      <c r="BF348" s="26">
        <v>0</v>
      </c>
      <c r="BH348" s="26">
        <v>900</v>
      </c>
      <c r="BI348" s="248">
        <v>3492</v>
      </c>
      <c r="BJ348" s="16">
        <f t="shared" si="176"/>
        <v>4392</v>
      </c>
      <c r="BK348" s="122">
        <f t="shared" si="177"/>
        <v>3.88</v>
      </c>
      <c r="BM348" s="117">
        <v>4392</v>
      </c>
      <c r="BN348" s="117">
        <v>4392</v>
      </c>
      <c r="BP348" s="259"/>
      <c r="BR348" s="117">
        <v>4392</v>
      </c>
      <c r="BS348" s="26"/>
      <c r="BU348" s="26">
        <v>4392</v>
      </c>
      <c r="BV348" s="535">
        <v>-2903</v>
      </c>
      <c r="BW348" s="576">
        <f t="shared" si="178"/>
        <v>1489</v>
      </c>
      <c r="BX348" s="577">
        <f t="shared" si="179"/>
        <v>-0.66097449908925321</v>
      </c>
      <c r="BZ348" s="166">
        <v>1489</v>
      </c>
      <c r="CA348" s="166">
        <v>1489</v>
      </c>
      <c r="CC348" s="753" t="s">
        <v>1397</v>
      </c>
      <c r="CE348" s="166">
        <v>1489</v>
      </c>
      <c r="CF348" s="166"/>
      <c r="CO348" s="16"/>
    </row>
    <row r="349" spans="1:93" x14ac:dyDescent="0.3">
      <c r="A349" s="11">
        <v>210</v>
      </c>
      <c r="B349" s="3" t="s">
        <v>2</v>
      </c>
      <c r="C349" s="37">
        <v>21005</v>
      </c>
      <c r="D349" s="37">
        <v>58520</v>
      </c>
      <c r="E349" s="49" t="s">
        <v>118</v>
      </c>
      <c r="F349" s="3" t="s">
        <v>2</v>
      </c>
      <c r="G349" s="3" t="s">
        <v>1457</v>
      </c>
      <c r="H349" s="26">
        <v>5000</v>
      </c>
      <c r="I349" s="244"/>
      <c r="J349" s="16">
        <f t="shared" si="161"/>
        <v>5000</v>
      </c>
      <c r="K349" s="122">
        <f t="shared" si="162"/>
        <v>0</v>
      </c>
      <c r="M349" s="117">
        <v>5000</v>
      </c>
      <c r="N349" s="117">
        <v>5000</v>
      </c>
      <c r="P349" s="259"/>
      <c r="R349" s="26">
        <v>5000</v>
      </c>
      <c r="S349" s="26">
        <v>1815.58</v>
      </c>
      <c r="U349" s="26">
        <v>5000</v>
      </c>
      <c r="V349" s="244">
        <v>0</v>
      </c>
      <c r="W349" s="16">
        <f t="shared" si="163"/>
        <v>5000</v>
      </c>
      <c r="X349" s="122">
        <f t="shared" si="164"/>
        <v>0</v>
      </c>
      <c r="Z349" s="117">
        <v>5000</v>
      </c>
      <c r="AA349" s="117">
        <v>5000</v>
      </c>
      <c r="AC349" s="259"/>
      <c r="AE349" s="26">
        <v>5000</v>
      </c>
      <c r="AF349" s="200">
        <v>4751.4799999999996</v>
      </c>
      <c r="AH349" s="26">
        <v>5000</v>
      </c>
      <c r="AI349" s="244"/>
      <c r="AJ349" s="16">
        <f t="shared" si="165"/>
        <v>5000</v>
      </c>
      <c r="AK349" s="122">
        <f t="shared" si="166"/>
        <v>0</v>
      </c>
      <c r="AM349" s="117">
        <v>5000</v>
      </c>
      <c r="AN349" s="117">
        <v>5000</v>
      </c>
      <c r="AP349" s="259"/>
      <c r="AR349" s="26">
        <v>5000</v>
      </c>
      <c r="AS349" s="26">
        <v>2547.48</v>
      </c>
      <c r="AU349" s="26">
        <f t="shared" si="167"/>
        <v>5000</v>
      </c>
      <c r="AV349" s="248"/>
      <c r="AW349" s="16">
        <f t="shared" si="168"/>
        <v>5000</v>
      </c>
      <c r="AX349" s="122">
        <f t="shared" si="169"/>
        <v>0</v>
      </c>
      <c r="AZ349" s="117">
        <v>5000</v>
      </c>
      <c r="BA349" s="117">
        <v>5000</v>
      </c>
      <c r="BC349" s="259"/>
      <c r="BE349" s="26">
        <v>5000</v>
      </c>
      <c r="BF349" s="26">
        <v>8229</v>
      </c>
      <c r="BH349" s="26">
        <v>5000</v>
      </c>
      <c r="BI349" s="248">
        <v>6055</v>
      </c>
      <c r="BJ349" s="16">
        <f t="shared" si="176"/>
        <v>11055</v>
      </c>
      <c r="BK349" s="122">
        <f t="shared" si="177"/>
        <v>1.2110000000000001</v>
      </c>
      <c r="BM349" s="117">
        <v>11055</v>
      </c>
      <c r="BN349" s="117">
        <f>11055-5000</f>
        <v>6055</v>
      </c>
      <c r="BP349" s="259" t="s">
        <v>1161</v>
      </c>
      <c r="BR349" s="117">
        <f>11055-5000</f>
        <v>6055</v>
      </c>
      <c r="BS349" s="26">
        <v>1665.68</v>
      </c>
      <c r="BU349" s="26">
        <f>11055-5000</f>
        <v>6055</v>
      </c>
      <c r="BV349" s="535"/>
      <c r="BW349" s="576">
        <f t="shared" si="178"/>
        <v>6055</v>
      </c>
      <c r="BX349" s="577">
        <f t="shared" si="179"/>
        <v>0</v>
      </c>
      <c r="BZ349" s="166">
        <v>6055</v>
      </c>
      <c r="CA349" s="166">
        <v>6055</v>
      </c>
      <c r="CC349" s="753"/>
      <c r="CE349" s="166">
        <v>6055</v>
      </c>
      <c r="CF349" s="166"/>
      <c r="CO349" s="16"/>
    </row>
    <row r="350" spans="1:93" x14ac:dyDescent="0.3">
      <c r="A350" s="11">
        <v>210</v>
      </c>
      <c r="C350" s="37">
        <v>21005</v>
      </c>
      <c r="D350" s="37">
        <v>58540</v>
      </c>
      <c r="E350" s="49" t="s">
        <v>118</v>
      </c>
      <c r="G350" s="3" t="s">
        <v>1106</v>
      </c>
      <c r="H350" s="26"/>
      <c r="I350" s="244"/>
      <c r="M350" s="117"/>
      <c r="N350" s="117"/>
      <c r="P350" s="259"/>
      <c r="R350" s="26"/>
      <c r="S350" s="26"/>
      <c r="U350" s="26"/>
      <c r="V350" s="244"/>
      <c r="Z350" s="117"/>
      <c r="AA350" s="117"/>
      <c r="AC350" s="259"/>
      <c r="AE350" s="26"/>
      <c r="AF350" s="200"/>
      <c r="AH350" s="26"/>
      <c r="AI350" s="244"/>
      <c r="AM350" s="117"/>
      <c r="AN350" s="117"/>
      <c r="AP350" s="259"/>
      <c r="AR350" s="26"/>
      <c r="AS350" s="26">
        <v>235</v>
      </c>
      <c r="AU350" s="26"/>
      <c r="AV350" s="248"/>
      <c r="AZ350" s="117"/>
      <c r="BA350" s="117"/>
      <c r="BC350" s="259"/>
      <c r="BE350" s="26"/>
      <c r="BF350" s="26"/>
      <c r="BH350" s="26"/>
      <c r="BI350" s="248"/>
      <c r="BM350" s="117"/>
      <c r="BN350" s="117"/>
      <c r="BP350" s="259"/>
      <c r="BR350" s="117"/>
      <c r="BS350" s="26"/>
      <c r="BU350" s="26"/>
      <c r="BV350" s="535"/>
      <c r="BW350" s="576">
        <f t="shared" si="178"/>
        <v>0</v>
      </c>
      <c r="BZ350" s="166">
        <v>0</v>
      </c>
      <c r="CA350" s="166">
        <v>0</v>
      </c>
      <c r="CC350" s="753"/>
      <c r="CE350" s="166">
        <v>0</v>
      </c>
      <c r="CF350" s="166"/>
      <c r="CO350" s="16"/>
    </row>
    <row r="351" spans="1:93" x14ac:dyDescent="0.3">
      <c r="A351" s="11">
        <v>210</v>
      </c>
      <c r="B351" s="3" t="s">
        <v>2</v>
      </c>
      <c r="C351" s="37">
        <v>21005</v>
      </c>
      <c r="D351" s="37">
        <v>58542</v>
      </c>
      <c r="E351" s="49" t="s">
        <v>118</v>
      </c>
      <c r="F351" s="3" t="s">
        <v>2</v>
      </c>
      <c r="G351" s="3" t="s">
        <v>1458</v>
      </c>
      <c r="H351" s="26"/>
      <c r="I351" s="244"/>
      <c r="M351" s="117"/>
      <c r="N351" s="117"/>
      <c r="P351" s="259"/>
      <c r="R351" s="26"/>
      <c r="S351" s="26"/>
      <c r="U351" s="26"/>
      <c r="V351" s="244"/>
      <c r="Z351" s="117"/>
      <c r="AA351" s="117"/>
      <c r="AC351" s="259"/>
      <c r="AE351" s="26"/>
      <c r="AF351" s="200">
        <v>19945.79</v>
      </c>
      <c r="AH351" s="26"/>
      <c r="AI351" s="244"/>
      <c r="AM351" s="117"/>
      <c r="AN351" s="117"/>
      <c r="AP351" s="259"/>
      <c r="AR351" s="26"/>
      <c r="AS351" s="26"/>
      <c r="AU351" s="26">
        <f>AR351</f>
        <v>0</v>
      </c>
      <c r="AV351" s="248"/>
      <c r="AZ351" s="117"/>
      <c r="BA351" s="117"/>
      <c r="BC351" s="259"/>
      <c r="BE351" s="26"/>
      <c r="BF351" s="26"/>
      <c r="BH351" s="26"/>
      <c r="BI351" s="248"/>
      <c r="BM351" s="117"/>
      <c r="BN351" s="117"/>
      <c r="BP351" s="259"/>
      <c r="BR351" s="117"/>
      <c r="BS351" s="26"/>
      <c r="BU351" s="26"/>
      <c r="BV351" s="535"/>
      <c r="BW351" s="576">
        <f t="shared" si="178"/>
        <v>0</v>
      </c>
      <c r="BZ351" s="166">
        <v>0</v>
      </c>
      <c r="CA351" s="166">
        <v>0</v>
      </c>
      <c r="CC351" s="753"/>
      <c r="CE351" s="166">
        <v>0</v>
      </c>
      <c r="CF351" s="166"/>
      <c r="CO351" s="16"/>
    </row>
    <row r="352" spans="1:93" s="19" customFormat="1" x14ac:dyDescent="0.3">
      <c r="A352" s="27"/>
      <c r="B352" s="8"/>
      <c r="C352" s="42"/>
      <c r="D352" s="42"/>
      <c r="E352" s="54"/>
      <c r="F352" s="8"/>
      <c r="G352" s="8" t="s">
        <v>162</v>
      </c>
      <c r="H352" s="28">
        <f>SUM(H315:H349)</f>
        <v>147300</v>
      </c>
      <c r="I352" s="28">
        <f>SUM(I315:I349)</f>
        <v>3600</v>
      </c>
      <c r="J352" s="28">
        <f>SUM(J315:J349)</f>
        <v>150900</v>
      </c>
      <c r="K352" s="123">
        <f>IF(H352=0," ",(J352-H352)/H352)</f>
        <v>2.4439918533604887E-2</v>
      </c>
      <c r="M352" s="28">
        <f>SUM(M315:M349)</f>
        <v>150900</v>
      </c>
      <c r="N352" s="28">
        <f>SUM(N315:N349)</f>
        <v>150900</v>
      </c>
      <c r="P352" s="139">
        <f>SUM(P315:P349)</f>
        <v>0</v>
      </c>
      <c r="R352" s="28">
        <f>SUM(R315:R349)</f>
        <v>150900</v>
      </c>
      <c r="S352" s="28">
        <f>SUM(S315:S349)</f>
        <v>149953.21000000002</v>
      </c>
      <c r="U352" s="28">
        <f>SUM(U315:U349)</f>
        <v>150900</v>
      </c>
      <c r="V352" s="28">
        <f>SUM(V315:V349)</f>
        <v>-15000</v>
      </c>
      <c r="W352" s="28">
        <f>SUM(W315:W349)</f>
        <v>135900</v>
      </c>
      <c r="X352" s="123">
        <f>IF(U352=0," ",(W352-U352)/U352)</f>
        <v>-9.9403578528827044E-2</v>
      </c>
      <c r="Z352" s="28">
        <f>SUM(Z315:Z349)</f>
        <v>135900</v>
      </c>
      <c r="AA352" s="28">
        <f>SUM(AA315:AA349)</f>
        <v>135900</v>
      </c>
      <c r="AC352" s="139"/>
      <c r="AE352" s="28">
        <f>SUM(AE315:AE349)</f>
        <v>135900</v>
      </c>
      <c r="AF352" s="201">
        <f>SUM(AF315:AF351)</f>
        <v>152930.63</v>
      </c>
      <c r="AH352" s="28">
        <f>SUM(AH315:AH349)</f>
        <v>135900</v>
      </c>
      <c r="AI352" s="28">
        <f>SUM(AI315:AI349)</f>
        <v>-7000</v>
      </c>
      <c r="AJ352" s="28">
        <f>SUM(AJ315:AJ349)</f>
        <v>128900</v>
      </c>
      <c r="AK352" s="123">
        <f>IF(AH352=0," ",(AJ352-AH352)/AH352)</f>
        <v>-5.1508462104488596E-2</v>
      </c>
      <c r="AM352" s="28">
        <f>SUM(AM315:AM349)</f>
        <v>134150</v>
      </c>
      <c r="AN352" s="28">
        <f>SUM(AN315:AN349)</f>
        <v>134150</v>
      </c>
      <c r="AP352" s="139"/>
      <c r="AR352" s="28">
        <f>SUM(AR315:AR349)</f>
        <v>134150</v>
      </c>
      <c r="AS352" s="28">
        <f>SUM(AS315:AS351)</f>
        <v>98598.87</v>
      </c>
      <c r="AU352" s="28">
        <f>SUM(AU315:AU349)</f>
        <v>134150</v>
      </c>
      <c r="AV352" s="28">
        <f>SUM(AV315:AV349)</f>
        <v>0</v>
      </c>
      <c r="AW352" s="28">
        <f>SUM(AW315:AW349)</f>
        <v>134150</v>
      </c>
      <c r="AX352" s="123">
        <f>IF(AU352=0," ",(AW352-AU352)/AU352)</f>
        <v>0</v>
      </c>
      <c r="AZ352" s="28">
        <f>SUM(AZ315:AZ349)</f>
        <v>134150</v>
      </c>
      <c r="BA352" s="28">
        <f>SUM(BA315:BA349)</f>
        <v>135388</v>
      </c>
      <c r="BC352" s="139"/>
      <c r="BE352" s="28">
        <f>SUM(BE315:BE349)</f>
        <v>135388</v>
      </c>
      <c r="BF352" s="28">
        <f>SUM(BF315:BF351)</f>
        <v>120712.4</v>
      </c>
      <c r="BG352" s="9"/>
      <c r="BH352" s="28">
        <f>SUM(BH315:BH349)</f>
        <v>135388</v>
      </c>
      <c r="BI352" s="28">
        <f>SUM(BI315:BI349)</f>
        <v>0</v>
      </c>
      <c r="BJ352" s="28">
        <f>SUM(BJ315:BJ349)</f>
        <v>135388</v>
      </c>
      <c r="BK352" s="123">
        <f>IF(BH352=0," ",(BJ352-BH352)/BH352)</f>
        <v>0</v>
      </c>
      <c r="BM352" s="28">
        <f>SUM(BM315:BM349)</f>
        <v>135388</v>
      </c>
      <c r="BN352" s="28">
        <f>SUM(BN315:BN349)</f>
        <v>125488</v>
      </c>
      <c r="BP352" s="139"/>
      <c r="BR352" s="28">
        <f>SUM(BR315:BR349)</f>
        <v>125488</v>
      </c>
      <c r="BS352" s="28">
        <f>SUM(BS315:BS349)</f>
        <v>45215.77</v>
      </c>
      <c r="BT352" s="9"/>
      <c r="BU352" s="28">
        <f>SUM(BU315:BU349)</f>
        <v>125488</v>
      </c>
      <c r="BV352" s="532">
        <f>SUM(BV315:BV349)</f>
        <v>0</v>
      </c>
      <c r="BW352" s="591">
        <f>SUM(BW315:BW349)</f>
        <v>125488</v>
      </c>
      <c r="BX352" s="579">
        <f>IF(BU352=0," ",(BW352-BU352)/BU352)</f>
        <v>0</v>
      </c>
      <c r="BY352" s="580"/>
      <c r="BZ352" s="591">
        <f>SUM(BZ315:BZ349)</f>
        <v>125488</v>
      </c>
      <c r="CA352" s="591">
        <f>SUM(CA315:CA349)</f>
        <v>122188</v>
      </c>
      <c r="CB352" s="580"/>
      <c r="CC352" s="769"/>
      <c r="CD352" s="580"/>
      <c r="CE352" s="591">
        <f>SUM(CE315:CE349)</f>
        <v>122188</v>
      </c>
      <c r="CF352" s="591">
        <f>SUM(CF315:CF349)</f>
        <v>0</v>
      </c>
      <c r="CG352" s="9"/>
      <c r="CH352" s="815"/>
      <c r="CI352" s="815"/>
      <c r="CJ352" s="887"/>
      <c r="CO352" s="16"/>
    </row>
    <row r="353" spans="1:93" ht="9.9" customHeight="1" x14ac:dyDescent="0.3">
      <c r="AS353" s="16"/>
      <c r="CO353" s="16"/>
    </row>
    <row r="354" spans="1:93" s="1" customFormat="1" x14ac:dyDescent="0.3">
      <c r="A354" s="20"/>
      <c r="B354" s="5"/>
      <c r="C354" s="39"/>
      <c r="D354" s="39"/>
      <c r="E354" s="51"/>
      <c r="F354" s="5"/>
      <c r="G354" s="21" t="s">
        <v>163</v>
      </c>
      <c r="H354" s="22">
        <f>H313+H352</f>
        <v>1539402</v>
      </c>
      <c r="I354" s="22">
        <f>I313+I352</f>
        <v>-8909</v>
      </c>
      <c r="J354" s="22">
        <f>J313+J352</f>
        <v>1530493</v>
      </c>
      <c r="K354" s="124">
        <f>IF(H354=0," ",(J354-H354)/H354)</f>
        <v>-5.7873122160423335E-3</v>
      </c>
      <c r="M354" s="22">
        <f>M313+M352</f>
        <v>1530494</v>
      </c>
      <c r="N354" s="22">
        <f>N313+N352</f>
        <v>1541752</v>
      </c>
      <c r="P354" s="136">
        <f>P313+P352</f>
        <v>0</v>
      </c>
      <c r="R354" s="22">
        <f>R313+R352</f>
        <v>1541752</v>
      </c>
      <c r="S354" s="22">
        <f>S313+S352</f>
        <v>1513492.1700000002</v>
      </c>
      <c r="U354" s="22">
        <f>U313+U352</f>
        <v>1541752</v>
      </c>
      <c r="V354" s="22">
        <f>V313+V352</f>
        <v>43141</v>
      </c>
      <c r="W354" s="22">
        <f>W313+W352</f>
        <v>1569893</v>
      </c>
      <c r="X354" s="124">
        <f>IF(U354=0," ",(W354-U354)/U354)</f>
        <v>1.8252611314919651E-2</v>
      </c>
      <c r="Z354" s="22">
        <f>Z313+Z352</f>
        <v>1584893</v>
      </c>
      <c r="AA354" s="22">
        <f>AA313+AA352</f>
        <v>1584898</v>
      </c>
      <c r="AC354" s="136"/>
      <c r="AE354" s="22">
        <f>AE313+AE352</f>
        <v>1584898</v>
      </c>
      <c r="AF354" s="199">
        <f>AF313+AF352</f>
        <v>1592058.85</v>
      </c>
      <c r="AH354" s="22">
        <f>AH352+AH313</f>
        <v>1584898</v>
      </c>
      <c r="AI354" s="22">
        <f>AI352+AI313</f>
        <v>20911</v>
      </c>
      <c r="AJ354" s="22">
        <f>AJ352+AJ313</f>
        <v>1605807</v>
      </c>
      <c r="AK354" s="124">
        <f>IF(AH354=0," ",(AJ354-AH354)/AH354)</f>
        <v>1.3192647097794306E-2</v>
      </c>
      <c r="AM354" s="22">
        <f>AM313+AM352</f>
        <v>1583777</v>
      </c>
      <c r="AN354" s="22">
        <f>AN313+AN352</f>
        <v>1583777</v>
      </c>
      <c r="AP354" s="136"/>
      <c r="AR354" s="22">
        <f>AR313+AR352</f>
        <v>1583777</v>
      </c>
      <c r="AS354" s="22">
        <f>AS313+AS352</f>
        <v>1435464.7600000002</v>
      </c>
      <c r="AU354" s="22">
        <f>AU313+AU352</f>
        <v>1583777</v>
      </c>
      <c r="AV354" s="22">
        <f>AV352+AV313</f>
        <v>126525</v>
      </c>
      <c r="AW354" s="22">
        <f>AW352+AW313</f>
        <v>1710302</v>
      </c>
      <c r="AX354" s="124">
        <f>IF(AU354=0," ",(AW354-AU354)/AU354)</f>
        <v>7.9888140817804529E-2</v>
      </c>
      <c r="AZ354" s="22">
        <f>AZ313+AZ352</f>
        <v>1681561</v>
      </c>
      <c r="BA354" s="22">
        <f>BA313+BA352</f>
        <v>1698789</v>
      </c>
      <c r="BC354" s="136"/>
      <c r="BE354" s="22">
        <f>BE313+BE352</f>
        <v>1698789</v>
      </c>
      <c r="BF354" s="22">
        <f>BF313+BF352</f>
        <v>1432987.0699999998</v>
      </c>
      <c r="BH354" s="22">
        <f>BH313+BH352</f>
        <v>1698789</v>
      </c>
      <c r="BI354" s="22">
        <f>BI352+BI313</f>
        <v>-4899</v>
      </c>
      <c r="BJ354" s="22">
        <f>BJ352+BJ313</f>
        <v>1693890</v>
      </c>
      <c r="BK354" s="124">
        <f>IF(BH354=0," ",(BJ354-BH354)/BH354)</f>
        <v>-2.8838190028308403E-3</v>
      </c>
      <c r="BM354" s="22">
        <f>BM313+BM352</f>
        <v>1693890</v>
      </c>
      <c r="BN354" s="22">
        <f>BN313+BN352</f>
        <v>1685658</v>
      </c>
      <c r="BP354" s="136"/>
      <c r="BR354" s="22">
        <f>BR313+BR352</f>
        <v>1685658</v>
      </c>
      <c r="BS354" s="22">
        <f>BS313+BS352</f>
        <v>626764.03999999992</v>
      </c>
      <c r="BU354" s="22">
        <f>BU313+BU352</f>
        <v>1685658</v>
      </c>
      <c r="BV354" s="531">
        <f>BV352+BV313</f>
        <v>-12543</v>
      </c>
      <c r="BW354" s="581">
        <f>BW352+BW313</f>
        <v>1673115</v>
      </c>
      <c r="BX354" s="582">
        <f>IF(BU354=0," ",(BW354-BU354)/BU354)</f>
        <v>-7.4410111659660499E-3</v>
      </c>
      <c r="BY354" s="573"/>
      <c r="BZ354" s="581">
        <f>BZ313+BZ352</f>
        <v>1673115</v>
      </c>
      <c r="CA354" s="581">
        <f>CA313+CA352</f>
        <v>1666830</v>
      </c>
      <c r="CB354" s="573"/>
      <c r="CC354" s="764"/>
      <c r="CD354" s="573"/>
      <c r="CE354" s="581">
        <f>CE313+CE352</f>
        <v>1666830</v>
      </c>
      <c r="CF354" s="581">
        <f>CF313+CF352</f>
        <v>0</v>
      </c>
      <c r="CH354" s="812"/>
      <c r="CI354" s="913">
        <v>1673115</v>
      </c>
      <c r="CJ354" s="891">
        <v>44634</v>
      </c>
      <c r="CK354" s="893" t="s">
        <v>1623</v>
      </c>
      <c r="CL354" s="893" t="s">
        <v>1620</v>
      </c>
      <c r="CM354" s="1" t="s">
        <v>1621</v>
      </c>
      <c r="CO354" s="16"/>
    </row>
    <row r="355" spans="1:93" ht="20.100000000000001" customHeight="1" x14ac:dyDescent="0.3">
      <c r="AS355" s="16"/>
      <c r="CO355" s="16"/>
    </row>
    <row r="356" spans="1:93" s="1" customFormat="1" ht="15.6" x14ac:dyDescent="0.3">
      <c r="A356" s="14" t="s">
        <v>159</v>
      </c>
      <c r="B356" s="2"/>
      <c r="C356" s="36"/>
      <c r="D356" s="36"/>
      <c r="E356" s="48"/>
      <c r="F356" s="2"/>
      <c r="G356" s="2"/>
      <c r="H356" s="15"/>
      <c r="I356" s="15"/>
      <c r="J356" s="15"/>
      <c r="K356" s="121"/>
      <c r="M356" s="15"/>
      <c r="N356" s="15"/>
      <c r="P356" s="133"/>
      <c r="R356" s="15"/>
      <c r="S356" s="15"/>
      <c r="U356" s="15"/>
      <c r="V356" s="15"/>
      <c r="W356" s="15"/>
      <c r="X356" s="121"/>
      <c r="Z356" s="15"/>
      <c r="AA356" s="15"/>
      <c r="AC356" s="133"/>
      <c r="AE356" s="15"/>
      <c r="AF356" s="196"/>
      <c r="AH356" s="15"/>
      <c r="AI356" s="15"/>
      <c r="AJ356" s="15"/>
      <c r="AK356" s="121"/>
      <c r="AM356" s="15"/>
      <c r="AN356" s="15"/>
      <c r="AP356" s="133"/>
      <c r="AR356" s="15"/>
      <c r="AS356" s="15"/>
      <c r="AU356" s="15"/>
      <c r="AV356" s="15"/>
      <c r="AW356" s="15"/>
      <c r="AX356" s="121"/>
      <c r="AZ356" s="15"/>
      <c r="BA356" s="15"/>
      <c r="BC356" s="133"/>
      <c r="BE356" s="15"/>
      <c r="BF356" s="15"/>
      <c r="BH356" s="15"/>
      <c r="BI356" s="15"/>
      <c r="BJ356" s="15"/>
      <c r="BK356" s="121"/>
      <c r="BM356" s="15"/>
      <c r="BN356" s="15"/>
      <c r="BP356" s="234"/>
      <c r="BR356" s="15"/>
      <c r="BS356" s="15"/>
      <c r="BU356" s="15"/>
      <c r="BV356" s="529"/>
      <c r="BW356" s="574"/>
      <c r="BX356" s="575"/>
      <c r="BY356" s="573"/>
      <c r="BZ356" s="574"/>
      <c r="CA356" s="574"/>
      <c r="CB356" s="573"/>
      <c r="CC356" s="761"/>
      <c r="CD356" s="573"/>
      <c r="CE356" s="574"/>
      <c r="CF356" s="574"/>
      <c r="CH356" s="812"/>
      <c r="CI356" s="812"/>
      <c r="CJ356" s="886"/>
      <c r="CO356" s="16"/>
    </row>
    <row r="357" spans="1:93" x14ac:dyDescent="0.3">
      <c r="A357" s="11">
        <v>220</v>
      </c>
      <c r="B357" s="3" t="s">
        <v>2</v>
      </c>
      <c r="C357" s="37">
        <v>22001</v>
      </c>
      <c r="D357" s="37">
        <v>51120</v>
      </c>
      <c r="E357" s="49" t="s">
        <v>119</v>
      </c>
      <c r="F357" s="3" t="s">
        <v>2</v>
      </c>
      <c r="G357" s="3" t="s">
        <v>93</v>
      </c>
      <c r="H357" s="26">
        <v>117692</v>
      </c>
      <c r="I357" s="244"/>
      <c r="J357" s="16">
        <f>H357+I357</f>
        <v>117692</v>
      </c>
      <c r="K357" s="122">
        <f>IF(H357=0," ",(J357-H357)/H357)</f>
        <v>0</v>
      </c>
      <c r="M357" s="117">
        <v>117692</v>
      </c>
      <c r="N357" s="117">
        <v>117692</v>
      </c>
      <c r="P357" s="259"/>
      <c r="R357" s="26">
        <v>117692</v>
      </c>
      <c r="S357" s="26">
        <v>99558.46</v>
      </c>
      <c r="U357" s="26">
        <v>117692</v>
      </c>
      <c r="V357" s="244">
        <v>2360</v>
      </c>
      <c r="W357" s="16">
        <f>U357+V357</f>
        <v>120052</v>
      </c>
      <c r="X357" s="122">
        <f>IF(U357=0," ",(W357-U357)/U357)</f>
        <v>2.0052340006117664E-2</v>
      </c>
      <c r="Z357" s="117">
        <v>120052</v>
      </c>
      <c r="AA357" s="117">
        <v>120052</v>
      </c>
      <c r="AC357" s="259" t="s">
        <v>674</v>
      </c>
      <c r="AE357" s="26">
        <v>120052</v>
      </c>
      <c r="AF357" s="200">
        <v>120363.28</v>
      </c>
      <c r="AH357" s="26">
        <v>120052</v>
      </c>
      <c r="AI357" s="244">
        <v>2716</v>
      </c>
      <c r="AJ357" s="16">
        <f>AH357+AI357</f>
        <v>122768</v>
      </c>
      <c r="AK357" s="122">
        <f>IF(AH357=0," ",(AJ357-AH357)/AH357)</f>
        <v>2.2623529803751707E-2</v>
      </c>
      <c r="AM357" s="117">
        <v>122768</v>
      </c>
      <c r="AN357" s="117">
        <v>122768</v>
      </c>
      <c r="AP357" s="259" t="s">
        <v>784</v>
      </c>
      <c r="AR357" s="26">
        <v>122768</v>
      </c>
      <c r="AS357" s="26">
        <v>122766.34</v>
      </c>
      <c r="AU357" s="26">
        <f>AR357</f>
        <v>122768</v>
      </c>
      <c r="AV357" s="244"/>
      <c r="AW357" s="16">
        <f>AU357+AV357</f>
        <v>122768</v>
      </c>
      <c r="AX357" s="122">
        <f>IF(AU357=0," ",(AW357-AU357)/AU357)</f>
        <v>0</v>
      </c>
      <c r="AZ357" s="117">
        <v>125224</v>
      </c>
      <c r="BA357" s="117">
        <v>125224</v>
      </c>
      <c r="BC357" s="259" t="s">
        <v>676</v>
      </c>
      <c r="BE357" s="26">
        <v>125224</v>
      </c>
      <c r="BF357" s="26">
        <v>125224</v>
      </c>
      <c r="BH357" s="26">
        <v>125224</v>
      </c>
      <c r="BI357" s="244">
        <v>2531</v>
      </c>
      <c r="BJ357" s="16">
        <f>BH357+BI357</f>
        <v>127755</v>
      </c>
      <c r="BK357" s="122">
        <f>IF(BH357=0," ",(BJ357-BH357)/BH357)</f>
        <v>2.0211780489363063E-2</v>
      </c>
      <c r="BM357" s="117">
        <v>127755</v>
      </c>
      <c r="BN357" s="117">
        <v>127755</v>
      </c>
      <c r="BP357" s="259" t="s">
        <v>1116</v>
      </c>
      <c r="BR357" s="117">
        <v>127755</v>
      </c>
      <c r="BS357" s="26">
        <v>57269.4</v>
      </c>
      <c r="BU357" s="26">
        <v>127755</v>
      </c>
      <c r="BV357" s="244">
        <v>2550</v>
      </c>
      <c r="BW357" s="576">
        <f>BU357+BV357</f>
        <v>130305</v>
      </c>
      <c r="BX357" s="577">
        <f>IF(BU357=0," ",(BW357-BU357)/BU357)</f>
        <v>1.9960079840319361E-2</v>
      </c>
      <c r="BZ357" s="166">
        <v>130305</v>
      </c>
      <c r="CA357" s="166">
        <v>130305</v>
      </c>
      <c r="CC357" s="753" t="s">
        <v>1116</v>
      </c>
      <c r="CE357" s="166">
        <v>130305</v>
      </c>
      <c r="CF357" s="166"/>
      <c r="CJ357" s="886"/>
      <c r="CO357" s="16"/>
    </row>
    <row r="358" spans="1:93" x14ac:dyDescent="0.3">
      <c r="A358" s="11">
        <v>220</v>
      </c>
      <c r="C358" s="37">
        <v>22001</v>
      </c>
      <c r="D358" s="37">
        <v>51500</v>
      </c>
      <c r="E358" s="49" t="s">
        <v>119</v>
      </c>
      <c r="G358" s="3" t="s">
        <v>636</v>
      </c>
      <c r="H358" s="26"/>
      <c r="I358" s="246"/>
      <c r="M358" s="147"/>
      <c r="N358" s="147">
        <v>0</v>
      </c>
      <c r="P358" s="149"/>
      <c r="R358" s="146"/>
      <c r="S358" s="146">
        <v>120</v>
      </c>
      <c r="U358" s="146"/>
      <c r="V358" s="246"/>
      <c r="Z358" s="147"/>
      <c r="AA358" s="147"/>
      <c r="AC358" s="149"/>
      <c r="AE358" s="146">
        <v>0</v>
      </c>
      <c r="AF358" s="272">
        <v>0</v>
      </c>
      <c r="AH358" s="146">
        <v>0</v>
      </c>
      <c r="AI358" s="246"/>
      <c r="AJ358" s="16">
        <f>AH358+AI358</f>
        <v>0</v>
      </c>
      <c r="AM358" s="117">
        <v>0</v>
      </c>
      <c r="AN358" s="117">
        <v>0</v>
      </c>
      <c r="AP358" s="149"/>
      <c r="AR358" s="26">
        <v>0</v>
      </c>
      <c r="AS358" s="26"/>
      <c r="AT358" s="7"/>
      <c r="AU358" s="26">
        <f>AR358</f>
        <v>0</v>
      </c>
      <c r="AV358" s="246"/>
      <c r="AW358" s="31">
        <f>AU358+AV358</f>
        <v>0</v>
      </c>
      <c r="AX358" s="148" t="str">
        <f>IF(AU358=0," ",(AW358-AU358)/AU358)</f>
        <v xml:space="preserve"> </v>
      </c>
      <c r="AZ358" s="117"/>
      <c r="BA358" s="117"/>
      <c r="BC358" s="149"/>
      <c r="BE358" s="26"/>
      <c r="BF358" s="26"/>
      <c r="BH358" s="26"/>
      <c r="BI358" s="246"/>
      <c r="BJ358" s="31">
        <f>BH358+BI358</f>
        <v>0</v>
      </c>
      <c r="BK358" s="148" t="str">
        <f>IF(BH358=0," ",(BJ358-BH358)/BH358)</f>
        <v xml:space="preserve"> </v>
      </c>
      <c r="BM358" s="117"/>
      <c r="BN358" s="117"/>
      <c r="BP358" s="149"/>
      <c r="BR358" s="117"/>
      <c r="BS358" s="146"/>
      <c r="BU358" s="26"/>
      <c r="BV358" s="246"/>
      <c r="BW358" s="583">
        <f>BU358+BV358</f>
        <v>0</v>
      </c>
      <c r="BX358" s="584" t="str">
        <f>IF(BU358=0," ",(BW358-BU358)/BU358)</f>
        <v xml:space="preserve"> </v>
      </c>
      <c r="BZ358" s="585">
        <v>0</v>
      </c>
      <c r="CA358" s="585">
        <v>0</v>
      </c>
      <c r="CC358" s="766"/>
      <c r="CE358" s="585">
        <v>0</v>
      </c>
      <c r="CF358" s="166"/>
      <c r="CJ358" s="886"/>
      <c r="CO358" s="16"/>
    </row>
    <row r="359" spans="1:93" x14ac:dyDescent="0.3">
      <c r="A359" s="12"/>
      <c r="H359" s="32">
        <f>SUM(H357:H357)</f>
        <v>117692</v>
      </c>
      <c r="I359" s="32">
        <f>SUM(I357:I357)</f>
        <v>0</v>
      </c>
      <c r="J359" s="32">
        <f>SUM(J357:J357)</f>
        <v>117692</v>
      </c>
      <c r="K359" s="128">
        <f>IF(H359=0," ",(J359-H359)/H359)</f>
        <v>0</v>
      </c>
      <c r="M359" s="32">
        <f>SUM(M357:M357)</f>
        <v>117692</v>
      </c>
      <c r="N359" s="32">
        <f>SUM(N357:N358)</f>
        <v>117692</v>
      </c>
      <c r="P359" s="141">
        <f>SUM(P357:P357)</f>
        <v>0</v>
      </c>
      <c r="R359" s="145">
        <f>SUM(R357:R357)</f>
        <v>117692</v>
      </c>
      <c r="S359" s="145">
        <f>SUM(S357:S358)</f>
        <v>99678.46</v>
      </c>
      <c r="U359" s="32">
        <f>SUM(U357:U357)</f>
        <v>117692</v>
      </c>
      <c r="V359" s="32">
        <f>SUM(V357:V357)</f>
        <v>2360</v>
      </c>
      <c r="W359" s="32">
        <f>SUM(W357:W357)</f>
        <v>120052</v>
      </c>
      <c r="X359" s="128">
        <f>IF(U359=0," ",(W359-U359)/U359)</f>
        <v>2.0052340006117664E-2</v>
      </c>
      <c r="Z359" s="32">
        <f>SUM(Z357:Z357)</f>
        <v>120052</v>
      </c>
      <c r="AA359" s="32">
        <f>SUM(AA357:AA357)</f>
        <v>120052</v>
      </c>
      <c r="AC359" s="141"/>
      <c r="AE359" s="32">
        <f>SUM(AE357:AE358)</f>
        <v>120052</v>
      </c>
      <c r="AF359" s="274">
        <f>SUM(AF357:AF358)</f>
        <v>120363.28</v>
      </c>
      <c r="AH359" s="145">
        <v>120052</v>
      </c>
      <c r="AI359" s="32">
        <f>SUM(AI357:AI357)</f>
        <v>2716</v>
      </c>
      <c r="AJ359" s="32">
        <f>SUM(AJ357:AJ357)</f>
        <v>122768</v>
      </c>
      <c r="AK359" s="128">
        <f>IF(AH359=0," ",(AJ359-AH359)/AH359)</f>
        <v>2.2623529803751707E-2</v>
      </c>
      <c r="AM359" s="32">
        <f>SUM(AM357:AM358)</f>
        <v>122768</v>
      </c>
      <c r="AN359" s="32">
        <f>SUM(AN357:AN358)</f>
        <v>122768</v>
      </c>
      <c r="AP359" s="141"/>
      <c r="AR359" s="145">
        <f>SUM(AR357:AR358)</f>
        <v>122768</v>
      </c>
      <c r="AS359" s="145">
        <f>SUM(AS357:AS358)</f>
        <v>122766.34</v>
      </c>
      <c r="AU359" s="145">
        <f>SUM(AU357:AU358)</f>
        <v>122768</v>
      </c>
      <c r="AV359" s="32">
        <f>SUM(AV357:AV357)</f>
        <v>0</v>
      </c>
      <c r="AW359" s="32">
        <f>SUM(AW357:AW357)</f>
        <v>122768</v>
      </c>
      <c r="AX359" s="128">
        <f>IF(AU359=0," ",(AW359-AU359)/AU359)</f>
        <v>0</v>
      </c>
      <c r="AZ359" s="32">
        <f>SUM(AZ357:AZ358)</f>
        <v>125224</v>
      </c>
      <c r="BA359" s="32">
        <f>SUM(BA357:BA358)</f>
        <v>125224</v>
      </c>
      <c r="BC359" s="141"/>
      <c r="BE359" s="145">
        <f>SUM(BE357:BE358)</f>
        <v>125224</v>
      </c>
      <c r="BF359" s="145">
        <f>SUM(BF357:BF358)</f>
        <v>125224</v>
      </c>
      <c r="BH359" s="145">
        <f>SUM(BH357:BH358)</f>
        <v>125224</v>
      </c>
      <c r="BI359" s="32">
        <f>SUM(BI357:BI357)</f>
        <v>2531</v>
      </c>
      <c r="BJ359" s="32">
        <f>SUM(BJ357:BJ357)</f>
        <v>127755</v>
      </c>
      <c r="BK359" s="128">
        <f>IF(BH359=0," ",(BJ359-BH359)/BH359)</f>
        <v>2.0211780489363063E-2</v>
      </c>
      <c r="BM359" s="145">
        <f>SUM(BM357:BM358)</f>
        <v>127755</v>
      </c>
      <c r="BN359" s="145">
        <f>SUM(BN357:BN358)</f>
        <v>127755</v>
      </c>
      <c r="BP359" s="141"/>
      <c r="BR359" s="145">
        <f>SUM(BR357:BR358)</f>
        <v>127755</v>
      </c>
      <c r="BS359" s="145">
        <f>SUM(BS357:BS358)</f>
        <v>57269.4</v>
      </c>
      <c r="BU359" s="145">
        <f>SUM(BU357:BU358)</f>
        <v>127755</v>
      </c>
      <c r="BV359" s="32">
        <f>SUM(BV357:BV357)</f>
        <v>2550</v>
      </c>
      <c r="BW359" s="595">
        <f>SUM(BW357:BW357)</f>
        <v>130305</v>
      </c>
      <c r="BX359" s="596">
        <f>IF(BU359=0," ",(BW359-BU359)/BU359)</f>
        <v>1.9960079840319361E-2</v>
      </c>
      <c r="BZ359" s="597">
        <f>SUM(BZ357:BZ358)</f>
        <v>130305</v>
      </c>
      <c r="CA359" s="597">
        <f>SUM(CA357:CA358)</f>
        <v>130305</v>
      </c>
      <c r="CC359" s="770"/>
      <c r="CE359" s="597">
        <f>SUM(CE357:CE358)</f>
        <v>130305</v>
      </c>
      <c r="CF359" s="597">
        <f>SUM(CF357:CF358)</f>
        <v>0</v>
      </c>
      <c r="CJ359" s="886"/>
      <c r="CO359" s="16"/>
    </row>
    <row r="360" spans="1:93" x14ac:dyDescent="0.3">
      <c r="H360" s="26"/>
      <c r="R360" s="26"/>
      <c r="S360" s="26"/>
      <c r="AF360" s="200"/>
      <c r="AH360" s="26"/>
      <c r="AR360" s="26"/>
      <c r="AS360" s="26"/>
      <c r="AU360" s="26"/>
      <c r="BE360" s="26"/>
      <c r="BF360" s="26"/>
      <c r="BH360" s="26"/>
      <c r="BM360" s="26"/>
      <c r="BN360" s="26"/>
      <c r="BR360" s="26"/>
      <c r="BS360" s="26"/>
      <c r="BU360" s="26"/>
      <c r="BZ360" s="589"/>
      <c r="CA360" s="589"/>
      <c r="CE360" s="589"/>
      <c r="CF360" s="589"/>
      <c r="CJ360" s="886"/>
      <c r="CO360" s="16"/>
    </row>
    <row r="361" spans="1:93" x14ac:dyDescent="0.3">
      <c r="A361" s="11">
        <v>220</v>
      </c>
      <c r="B361" s="3" t="s">
        <v>2</v>
      </c>
      <c r="C361" s="37">
        <v>22002</v>
      </c>
      <c r="D361" s="37">
        <v>51130</v>
      </c>
      <c r="E361" s="49" t="s">
        <v>11</v>
      </c>
      <c r="F361" s="3" t="s">
        <v>2</v>
      </c>
      <c r="G361" s="3" t="s">
        <v>94</v>
      </c>
      <c r="H361" s="26">
        <v>258413</v>
      </c>
      <c r="I361" s="244"/>
      <c r="J361" s="16">
        <f t="shared" ref="J361:J372" si="180">H361+I361</f>
        <v>258413</v>
      </c>
      <c r="K361" s="122">
        <f t="shared" ref="K361:K368" si="181">IF(H361=0," ",(J361-H361)/H361)</f>
        <v>0</v>
      </c>
      <c r="M361" s="117">
        <v>258413</v>
      </c>
      <c r="N361" s="185">
        <f>258413+10165</f>
        <v>268578</v>
      </c>
      <c r="P361" s="259"/>
      <c r="R361" s="30">
        <f>258413+10165</f>
        <v>268578</v>
      </c>
      <c r="S361" s="30">
        <v>247320.76</v>
      </c>
      <c r="U361" s="30">
        <f>258413+10165</f>
        <v>268578</v>
      </c>
      <c r="V361" s="244">
        <v>0</v>
      </c>
      <c r="W361" s="16">
        <f t="shared" ref="W361:W372" si="182">U361+V361</f>
        <v>268578</v>
      </c>
      <c r="X361" s="122">
        <f t="shared" ref="X361:X368" si="183">IF(U361=0," ",(W361-U361)/U361)</f>
        <v>0</v>
      </c>
      <c r="Z361" s="117">
        <v>268578</v>
      </c>
      <c r="AA361" s="117">
        <v>256000</v>
      </c>
      <c r="AC361" s="259" t="s">
        <v>719</v>
      </c>
      <c r="AE361" s="26">
        <v>256000</v>
      </c>
      <c r="AF361" s="200">
        <v>245544.64</v>
      </c>
      <c r="AH361" s="26">
        <v>256000</v>
      </c>
      <c r="AI361" s="244">
        <v>6000</v>
      </c>
      <c r="AJ361" s="16">
        <f t="shared" ref="AJ361:AJ372" si="184">AH361+AI361</f>
        <v>262000</v>
      </c>
      <c r="AK361" s="122">
        <f t="shared" ref="AK361:AK368" si="185">IF(AH361=0," ",(AJ361-AH361)/AH361)</f>
        <v>2.34375E-2</v>
      </c>
      <c r="AM361" s="117">
        <v>262000</v>
      </c>
      <c r="AN361" s="117">
        <v>262000</v>
      </c>
      <c r="AP361" s="301" t="s">
        <v>902</v>
      </c>
      <c r="AR361" s="26">
        <v>262000</v>
      </c>
      <c r="AS361" s="26">
        <v>256873.45</v>
      </c>
      <c r="AU361" s="26">
        <f t="shared" ref="AU361:AU372" si="186">AR361</f>
        <v>262000</v>
      </c>
      <c r="AV361" s="244">
        <v>800</v>
      </c>
      <c r="AW361" s="16">
        <f t="shared" ref="AW361:AW371" si="187">AU361+AV361</f>
        <v>262800</v>
      </c>
      <c r="AX361" s="122">
        <f t="shared" ref="AX361:AX365" si="188">IF(AU361=0," ",(AW361-AU361)/AU361)</f>
        <v>3.0534351145038168E-3</v>
      </c>
      <c r="AZ361" s="117">
        <v>262800</v>
      </c>
      <c r="BA361" s="117">
        <v>262800</v>
      </c>
      <c r="BC361" s="301" t="s">
        <v>1025</v>
      </c>
      <c r="BE361" s="26">
        <v>262800</v>
      </c>
      <c r="BF361" s="26">
        <v>250117.95</v>
      </c>
      <c r="BH361" s="26">
        <v>262800</v>
      </c>
      <c r="BI361" s="244">
        <v>7367</v>
      </c>
      <c r="BJ361" s="16">
        <f t="shared" ref="BJ361:BJ371" si="189">BH361+BI361</f>
        <v>270167</v>
      </c>
      <c r="BK361" s="122">
        <f t="shared" ref="BK361:BK365" si="190">IF(BH361=0," ",(BJ361-BH361)/BH361)</f>
        <v>2.8032724505327244E-2</v>
      </c>
      <c r="BM361" s="117">
        <v>270167</v>
      </c>
      <c r="BN361" s="117">
        <v>270167</v>
      </c>
      <c r="BP361" s="259" t="s">
        <v>816</v>
      </c>
      <c r="BR361" s="117">
        <v>270167</v>
      </c>
      <c r="BS361" s="26">
        <v>121308.65</v>
      </c>
      <c r="BU361" s="26">
        <v>270167</v>
      </c>
      <c r="BV361" s="244">
        <v>15557</v>
      </c>
      <c r="BW361" s="576">
        <f t="shared" ref="BW361:BW371" si="191">BU361+BV361</f>
        <v>285724</v>
      </c>
      <c r="BX361" s="577">
        <f>IF(BU361=0," ",(BW361-BU361)/BU361)</f>
        <v>5.7582902427017364E-2</v>
      </c>
      <c r="BZ361" s="166">
        <v>285724</v>
      </c>
      <c r="CA361" s="166">
        <f>285724+135547</f>
        <v>421271</v>
      </c>
      <c r="CB361" s="747"/>
      <c r="CC361" s="766" t="s">
        <v>1318</v>
      </c>
      <c r="CE361" s="247">
        <f>285724+135547</f>
        <v>421271</v>
      </c>
      <c r="CF361" s="166"/>
      <c r="CH361" s="818">
        <v>135547</v>
      </c>
      <c r="CI361" s="818"/>
      <c r="CJ361" s="886"/>
      <c r="CO361" s="16"/>
    </row>
    <row r="362" spans="1:93" x14ac:dyDescent="0.3">
      <c r="A362" s="11">
        <v>220</v>
      </c>
      <c r="B362" s="3" t="s">
        <v>2</v>
      </c>
      <c r="C362" s="37">
        <v>22002</v>
      </c>
      <c r="D362" s="37">
        <v>51140</v>
      </c>
      <c r="E362" s="49" t="s">
        <v>11</v>
      </c>
      <c r="F362" s="3" t="s">
        <v>2</v>
      </c>
      <c r="G362" s="3" t="s">
        <v>95</v>
      </c>
      <c r="H362" s="26">
        <v>17579</v>
      </c>
      <c r="I362" s="244">
        <v>712</v>
      </c>
      <c r="J362" s="16">
        <f t="shared" si="180"/>
        <v>18291</v>
      </c>
      <c r="K362" s="122">
        <f t="shared" si="181"/>
        <v>4.0502872745889984E-2</v>
      </c>
      <c r="M362" s="117">
        <v>18291</v>
      </c>
      <c r="N362" s="117">
        <v>18291</v>
      </c>
      <c r="P362" s="259"/>
      <c r="R362" s="26">
        <v>18291</v>
      </c>
      <c r="S362" s="26">
        <v>13026.56</v>
      </c>
      <c r="U362" s="26">
        <v>18291</v>
      </c>
      <c r="V362" s="244">
        <v>874</v>
      </c>
      <c r="W362" s="16">
        <f t="shared" si="182"/>
        <v>19165</v>
      </c>
      <c r="X362" s="122">
        <f t="shared" si="183"/>
        <v>4.7783062708435846E-2</v>
      </c>
      <c r="Z362" s="117">
        <v>19165</v>
      </c>
      <c r="AA362" s="117">
        <v>19165</v>
      </c>
      <c r="AC362" s="259" t="s">
        <v>650</v>
      </c>
      <c r="AE362" s="26">
        <v>19165</v>
      </c>
      <c r="AF362" s="200">
        <v>17632.29</v>
      </c>
      <c r="AH362" s="26">
        <v>19165</v>
      </c>
      <c r="AI362" s="244">
        <v>446</v>
      </c>
      <c r="AJ362" s="16">
        <f t="shared" si="184"/>
        <v>19611</v>
      </c>
      <c r="AK362" s="122">
        <f t="shared" si="185"/>
        <v>2.3271588833811637E-2</v>
      </c>
      <c r="AM362" s="117">
        <v>19611</v>
      </c>
      <c r="AN362" s="117">
        <v>19611</v>
      </c>
      <c r="AP362" s="259"/>
      <c r="AR362" s="26">
        <v>19611</v>
      </c>
      <c r="AS362" s="26">
        <v>18460.689999999999</v>
      </c>
      <c r="AU362" s="26">
        <f t="shared" si="186"/>
        <v>19611</v>
      </c>
      <c r="AV362" s="244">
        <v>1450</v>
      </c>
      <c r="AW362" s="16">
        <f t="shared" si="187"/>
        <v>21061</v>
      </c>
      <c r="AX362" s="122">
        <f t="shared" si="188"/>
        <v>7.3938095966549391E-2</v>
      </c>
      <c r="AZ362" s="117">
        <v>20979</v>
      </c>
      <c r="BA362" s="117">
        <f>8532+12119</f>
        <v>20651</v>
      </c>
      <c r="BC362" s="266" t="s">
        <v>1075</v>
      </c>
      <c r="BE362" s="26">
        <f>8532+12119</f>
        <v>20651</v>
      </c>
      <c r="BF362" s="26">
        <v>12276.53</v>
      </c>
      <c r="BH362" s="26">
        <f>8532+12119</f>
        <v>20651</v>
      </c>
      <c r="BI362" s="244">
        <v>286</v>
      </c>
      <c r="BJ362" s="16">
        <f t="shared" si="189"/>
        <v>20937</v>
      </c>
      <c r="BK362" s="122">
        <f t="shared" si="190"/>
        <v>1.3849208270785918E-2</v>
      </c>
      <c r="BM362" s="117">
        <v>20937</v>
      </c>
      <c r="BN362" s="117">
        <v>20937</v>
      </c>
      <c r="BP362" s="428" t="s">
        <v>1301</v>
      </c>
      <c r="BR362" s="117">
        <v>20937</v>
      </c>
      <c r="BS362" s="26">
        <v>8474.07</v>
      </c>
      <c r="BU362" s="26">
        <v>20937</v>
      </c>
      <c r="BV362" s="244">
        <v>-64</v>
      </c>
      <c r="BW362" s="576">
        <f t="shared" si="191"/>
        <v>20873</v>
      </c>
      <c r="BX362" s="577">
        <f>IF(BU362=0," ",(BW362-BU362)/BU362)</f>
        <v>-3.0567894158666474E-3</v>
      </c>
      <c r="BZ362" s="166">
        <v>20873</v>
      </c>
      <c r="CA362" s="166">
        <v>20873</v>
      </c>
      <c r="CB362" s="747"/>
      <c r="CC362" s="778" t="s">
        <v>1326</v>
      </c>
      <c r="CE362" s="166">
        <v>20873</v>
      </c>
      <c r="CF362" s="166"/>
      <c r="CH362" s="818"/>
      <c r="CI362" s="818"/>
      <c r="CJ362" s="886"/>
      <c r="CO362" s="16"/>
    </row>
    <row r="363" spans="1:93" x14ac:dyDescent="0.3">
      <c r="A363" s="11">
        <v>220</v>
      </c>
      <c r="B363" s="3" t="s">
        <v>2</v>
      </c>
      <c r="C363" s="37">
        <v>22002</v>
      </c>
      <c r="D363" s="37">
        <v>51150</v>
      </c>
      <c r="E363" s="49" t="s">
        <v>11</v>
      </c>
      <c r="F363" s="3" t="s">
        <v>2</v>
      </c>
      <c r="G363" s="3" t="s">
        <v>96</v>
      </c>
      <c r="H363" s="26">
        <v>71938</v>
      </c>
      <c r="I363" s="244"/>
      <c r="J363" s="16">
        <f t="shared" si="180"/>
        <v>71938</v>
      </c>
      <c r="K363" s="122">
        <f t="shared" si="181"/>
        <v>0</v>
      </c>
      <c r="M363" s="117">
        <v>71938</v>
      </c>
      <c r="N363" s="117">
        <v>71938</v>
      </c>
      <c r="P363" s="259"/>
      <c r="R363" s="26">
        <v>71938</v>
      </c>
      <c r="S363" s="26">
        <v>73442.009999999995</v>
      </c>
      <c r="U363" s="26">
        <v>71938</v>
      </c>
      <c r="V363" s="244">
        <v>0</v>
      </c>
      <c r="W363" s="16">
        <f t="shared" si="182"/>
        <v>71938</v>
      </c>
      <c r="X363" s="122">
        <f t="shared" si="183"/>
        <v>0</v>
      </c>
      <c r="Z363" s="117">
        <v>71938</v>
      </c>
      <c r="AA363" s="117">
        <v>82000</v>
      </c>
      <c r="AC363" s="259" t="s">
        <v>712</v>
      </c>
      <c r="AE363" s="26">
        <v>82000</v>
      </c>
      <c r="AF363" s="200">
        <v>81796.87</v>
      </c>
      <c r="AH363" s="26">
        <v>82000</v>
      </c>
      <c r="AI363" s="244">
        <v>3500</v>
      </c>
      <c r="AJ363" s="16">
        <f t="shared" si="184"/>
        <v>85500</v>
      </c>
      <c r="AK363" s="122">
        <f t="shared" si="185"/>
        <v>4.2682926829268296E-2</v>
      </c>
      <c r="AM363" s="117">
        <v>85500</v>
      </c>
      <c r="AN363" s="117">
        <v>85500</v>
      </c>
      <c r="AP363" s="259" t="s">
        <v>833</v>
      </c>
      <c r="AR363" s="26">
        <v>85500</v>
      </c>
      <c r="AS363" s="26">
        <v>74500.710000000006</v>
      </c>
      <c r="AU363" s="26">
        <f t="shared" si="186"/>
        <v>85500</v>
      </c>
      <c r="AV363" s="244"/>
      <c r="AW363" s="16">
        <f t="shared" si="187"/>
        <v>85500</v>
      </c>
      <c r="AX363" s="122">
        <f t="shared" si="188"/>
        <v>0</v>
      </c>
      <c r="AZ363" s="117">
        <v>85500</v>
      </c>
      <c r="BA363" s="117">
        <f>85500+65000-3000</f>
        <v>147500</v>
      </c>
      <c r="BC363" s="266" t="s">
        <v>1091</v>
      </c>
      <c r="BE363" s="26">
        <f>85500+65000-3000</f>
        <v>147500</v>
      </c>
      <c r="BF363" s="26">
        <v>95677.14</v>
      </c>
      <c r="BH363" s="26">
        <f>85500+65000-3000</f>
        <v>147500</v>
      </c>
      <c r="BI363" s="403">
        <v>102250</v>
      </c>
      <c r="BJ363" s="16">
        <f t="shared" si="189"/>
        <v>249750</v>
      </c>
      <c r="BK363" s="122">
        <f t="shared" si="190"/>
        <v>0.6932203389830508</v>
      </c>
      <c r="BM363" s="117">
        <v>249750</v>
      </c>
      <c r="BN363" s="117">
        <f>249750+10000</f>
        <v>259750</v>
      </c>
      <c r="BP363" s="429" t="s">
        <v>1196</v>
      </c>
      <c r="BR363" s="117">
        <f>249750+10000</f>
        <v>259750</v>
      </c>
      <c r="BS363" s="26">
        <f>40947.79+86360.95</f>
        <v>127308.73999999999</v>
      </c>
      <c r="BU363" s="26">
        <f>249750+10000</f>
        <v>259750</v>
      </c>
      <c r="BV363" s="403">
        <v>15195</v>
      </c>
      <c r="BW363" s="576">
        <f t="shared" si="191"/>
        <v>274945</v>
      </c>
      <c r="BX363" s="577">
        <f>IF(BU363=0," ",(BW363-BU363)/BU363)</f>
        <v>5.8498556304138596E-2</v>
      </c>
      <c r="BZ363" s="166">
        <v>274945</v>
      </c>
      <c r="CA363" s="166">
        <f>274945-15000</f>
        <v>259945</v>
      </c>
      <c r="CB363" s="747"/>
      <c r="CC363" s="779" t="s">
        <v>1656</v>
      </c>
      <c r="CE363" s="247">
        <f>274945-15000</f>
        <v>259945</v>
      </c>
      <c r="CF363" s="166"/>
      <c r="CH363" s="818"/>
      <c r="CI363" s="818"/>
      <c r="CJ363" s="886"/>
      <c r="CO363" s="16"/>
    </row>
    <row r="364" spans="1:93" x14ac:dyDescent="0.3">
      <c r="A364" s="11">
        <v>220</v>
      </c>
      <c r="B364" s="3" t="s">
        <v>2</v>
      </c>
      <c r="C364" s="37">
        <v>22002</v>
      </c>
      <c r="D364" s="37">
        <v>51152</v>
      </c>
      <c r="E364" s="49" t="s">
        <v>11</v>
      </c>
      <c r="F364" s="3" t="s">
        <v>2</v>
      </c>
      <c r="G364" s="3" t="s">
        <v>710</v>
      </c>
      <c r="H364" s="26">
        <v>19561</v>
      </c>
      <c r="I364" s="244"/>
      <c r="J364" s="16">
        <f t="shared" si="180"/>
        <v>19561</v>
      </c>
      <c r="K364" s="122">
        <f t="shared" si="181"/>
        <v>0</v>
      </c>
      <c r="M364" s="117">
        <v>19561</v>
      </c>
      <c r="N364" s="117">
        <v>19561</v>
      </c>
      <c r="P364" s="259"/>
      <c r="R364" s="26">
        <v>19561</v>
      </c>
      <c r="S364" s="26">
        <v>22970.55</v>
      </c>
      <c r="U364" s="26">
        <v>19561</v>
      </c>
      <c r="V364" s="244">
        <v>0</v>
      </c>
      <c r="W364" s="16">
        <f t="shared" si="182"/>
        <v>19561</v>
      </c>
      <c r="X364" s="122">
        <f t="shared" si="183"/>
        <v>0</v>
      </c>
      <c r="Z364" s="117">
        <v>19561</v>
      </c>
      <c r="AA364" s="117">
        <v>19500</v>
      </c>
      <c r="AC364" s="259"/>
      <c r="AE364" s="26">
        <v>19500</v>
      </c>
      <c r="AF364" s="200">
        <v>20045.2</v>
      </c>
      <c r="AH364" s="26">
        <v>19500</v>
      </c>
      <c r="AI364" s="244">
        <v>54750</v>
      </c>
      <c r="AJ364" s="16">
        <f t="shared" si="184"/>
        <v>74250</v>
      </c>
      <c r="AK364" s="122">
        <f t="shared" si="185"/>
        <v>2.8076923076923075</v>
      </c>
      <c r="AM364" s="117">
        <f>74250+28000</f>
        <v>102250</v>
      </c>
      <c r="AN364" s="117">
        <f>74250+28000</f>
        <v>102250</v>
      </c>
      <c r="AP364" s="289" t="s">
        <v>901</v>
      </c>
      <c r="AR364" s="26">
        <f>74250+28000</f>
        <v>102250</v>
      </c>
      <c r="AS364" s="26">
        <v>117010.3</v>
      </c>
      <c r="AU364" s="26">
        <f t="shared" si="186"/>
        <v>102250</v>
      </c>
      <c r="AV364" s="244"/>
      <c r="AW364" s="16">
        <f t="shared" si="187"/>
        <v>102250</v>
      </c>
      <c r="AX364" s="122">
        <f t="shared" si="188"/>
        <v>0</v>
      </c>
      <c r="AZ364" s="117">
        <v>102250</v>
      </c>
      <c r="BA364" s="117">
        <v>102250</v>
      </c>
      <c r="BC364" s="289"/>
      <c r="BE364" s="26">
        <v>102250</v>
      </c>
      <c r="BF364" s="26">
        <v>176840.56</v>
      </c>
      <c r="BH364" s="26">
        <v>102250</v>
      </c>
      <c r="BI364" s="403">
        <v>-102250</v>
      </c>
      <c r="BJ364" s="16">
        <f t="shared" si="189"/>
        <v>0</v>
      </c>
      <c r="BK364" s="122">
        <f t="shared" si="190"/>
        <v>-1</v>
      </c>
      <c r="BM364" s="117">
        <v>0</v>
      </c>
      <c r="BN364" s="117">
        <v>0</v>
      </c>
      <c r="BP364" s="426" t="s">
        <v>1121</v>
      </c>
      <c r="BR364" s="117">
        <v>0</v>
      </c>
      <c r="BS364" s="26">
        <v>0</v>
      </c>
      <c r="BU364" s="26">
        <v>0</v>
      </c>
      <c r="BV364" s="244"/>
      <c r="BW364" s="576">
        <f t="shared" si="191"/>
        <v>0</v>
      </c>
      <c r="BX364" s="577" t="str">
        <f t="shared" ref="BX364:BX365" si="192">IF(BU364=0," ",(BW364-BU364)/BU364)</f>
        <v xml:space="preserve"> </v>
      </c>
      <c r="BZ364" s="166">
        <v>0</v>
      </c>
      <c r="CA364" s="166">
        <v>0</v>
      </c>
      <c r="CB364" s="747"/>
      <c r="CC364" s="766"/>
      <c r="CE364" s="166">
        <v>0</v>
      </c>
      <c r="CF364" s="166"/>
      <c r="CH364" s="818"/>
      <c r="CI364" s="818"/>
      <c r="CJ364" s="886"/>
      <c r="CO364" s="16"/>
    </row>
    <row r="365" spans="1:93" x14ac:dyDescent="0.3">
      <c r="A365" s="11">
        <v>220</v>
      </c>
      <c r="B365" s="3" t="s">
        <v>2</v>
      </c>
      <c r="C365" s="37">
        <v>22002</v>
      </c>
      <c r="D365" s="37">
        <v>51160</v>
      </c>
      <c r="E365" s="49" t="s">
        <v>11</v>
      </c>
      <c r="G365" s="3" t="s">
        <v>716</v>
      </c>
      <c r="H365" s="26"/>
      <c r="I365" s="244"/>
      <c r="M365" s="117"/>
      <c r="N365" s="117"/>
      <c r="P365" s="259"/>
      <c r="R365" s="26"/>
      <c r="S365" s="26">
        <v>5850</v>
      </c>
      <c r="U365" s="26"/>
      <c r="V365" s="244"/>
      <c r="Z365" s="117"/>
      <c r="AA365" s="117">
        <v>54750</v>
      </c>
      <c r="AC365" s="259" t="s">
        <v>715</v>
      </c>
      <c r="AE365" s="26">
        <v>54750</v>
      </c>
      <c r="AF365" s="200">
        <v>10150</v>
      </c>
      <c r="AH365" s="26">
        <v>54750</v>
      </c>
      <c r="AI365" s="244">
        <v>-54750</v>
      </c>
      <c r="AJ365" s="16">
        <f t="shared" si="184"/>
        <v>0</v>
      </c>
      <c r="AK365" s="122">
        <f t="shared" si="185"/>
        <v>-1</v>
      </c>
      <c r="AM365" s="117">
        <v>0</v>
      </c>
      <c r="AN365" s="117">
        <v>0</v>
      </c>
      <c r="AP365" s="257" t="s">
        <v>832</v>
      </c>
      <c r="AR365" s="26">
        <v>0</v>
      </c>
      <c r="AS365" s="26">
        <v>0</v>
      </c>
      <c r="AU365" s="26">
        <f t="shared" si="186"/>
        <v>0</v>
      </c>
      <c r="AV365" s="244"/>
      <c r="AW365" s="16">
        <f t="shared" si="187"/>
        <v>0</v>
      </c>
      <c r="AX365" s="122" t="str">
        <f t="shared" si="188"/>
        <v xml:space="preserve"> </v>
      </c>
      <c r="AZ365" s="117">
        <v>0</v>
      </c>
      <c r="BA365" s="117">
        <v>0</v>
      </c>
      <c r="BC365" s="257"/>
      <c r="BE365" s="26">
        <v>0</v>
      </c>
      <c r="BF365" s="26"/>
      <c r="BH365" s="26">
        <v>0</v>
      </c>
      <c r="BI365" s="244"/>
      <c r="BJ365" s="16">
        <f t="shared" si="189"/>
        <v>0</v>
      </c>
      <c r="BK365" s="122" t="str">
        <f t="shared" si="190"/>
        <v xml:space="preserve"> </v>
      </c>
      <c r="BM365" s="117">
        <v>0</v>
      </c>
      <c r="BN365" s="117">
        <v>0</v>
      </c>
      <c r="BP365" s="257"/>
      <c r="BR365" s="117">
        <v>0</v>
      </c>
      <c r="BS365" s="26">
        <v>0</v>
      </c>
      <c r="BU365" s="26">
        <v>0</v>
      </c>
      <c r="BV365" s="244"/>
      <c r="BW365" s="576">
        <f t="shared" si="191"/>
        <v>0</v>
      </c>
      <c r="BX365" s="577" t="str">
        <f t="shared" si="192"/>
        <v xml:space="preserve"> </v>
      </c>
      <c r="BZ365" s="166">
        <v>0</v>
      </c>
      <c r="CA365" s="166">
        <v>0</v>
      </c>
      <c r="CB365" s="747"/>
      <c r="CC365" s="780"/>
      <c r="CE365" s="166">
        <v>0</v>
      </c>
      <c r="CF365" s="166"/>
      <c r="CJ365" s="886"/>
      <c r="CO365" s="16"/>
    </row>
    <row r="366" spans="1:93" x14ac:dyDescent="0.3">
      <c r="A366" s="11">
        <v>220</v>
      </c>
      <c r="B366" s="3" t="s">
        <v>2</v>
      </c>
      <c r="C366" s="37">
        <v>22002</v>
      </c>
      <c r="D366" s="37">
        <v>51310</v>
      </c>
      <c r="E366" s="49" t="s">
        <v>11</v>
      </c>
      <c r="F366" s="3" t="s">
        <v>2</v>
      </c>
      <c r="G366" s="3" t="s">
        <v>709</v>
      </c>
      <c r="H366" s="26">
        <v>77843</v>
      </c>
      <c r="I366" s="244"/>
      <c r="J366" s="16">
        <f t="shared" si="180"/>
        <v>77843</v>
      </c>
      <c r="K366" s="122">
        <f t="shared" si="181"/>
        <v>0</v>
      </c>
      <c r="M366" s="117">
        <v>77843</v>
      </c>
      <c r="N366" s="117">
        <v>77843</v>
      </c>
      <c r="P366" s="259"/>
      <c r="R366" s="26">
        <v>77843</v>
      </c>
      <c r="S366" s="26">
        <v>41861.440000000002</v>
      </c>
      <c r="U366" s="26">
        <v>77843</v>
      </c>
      <c r="V366" s="244">
        <v>0</v>
      </c>
      <c r="W366" s="16">
        <f t="shared" si="182"/>
        <v>77843</v>
      </c>
      <c r="X366" s="122">
        <f t="shared" si="183"/>
        <v>0</v>
      </c>
      <c r="Z366" s="117">
        <v>77843</v>
      </c>
      <c r="AA366" s="117">
        <v>81000</v>
      </c>
      <c r="AC366" s="259" t="s">
        <v>711</v>
      </c>
      <c r="AE366" s="26">
        <v>81000</v>
      </c>
      <c r="AF366" s="200">
        <v>47023.63</v>
      </c>
      <c r="AH366" s="26">
        <v>81000</v>
      </c>
      <c r="AI366" s="244">
        <v>4000</v>
      </c>
      <c r="AJ366" s="16">
        <f t="shared" si="184"/>
        <v>85000</v>
      </c>
      <c r="AK366" s="122">
        <f t="shared" si="185"/>
        <v>4.9382716049382713E-2</v>
      </c>
      <c r="AM366" s="117">
        <f>85000+16000</f>
        <v>101000</v>
      </c>
      <c r="AN366" s="117">
        <f>85000+16000</f>
        <v>101000</v>
      </c>
      <c r="AP366" s="289" t="s">
        <v>903</v>
      </c>
      <c r="AR366" s="26">
        <f>85000+16000</f>
        <v>101000</v>
      </c>
      <c r="AS366" s="26">
        <v>75001.429999999993</v>
      </c>
      <c r="AU366" s="26">
        <f t="shared" si="186"/>
        <v>101000</v>
      </c>
      <c r="AV366" s="244"/>
      <c r="AW366" s="16">
        <f t="shared" si="187"/>
        <v>101000</v>
      </c>
      <c r="AX366" s="122">
        <f>IF(AU366=0," ",(AW366-AU366)/AU366)</f>
        <v>0</v>
      </c>
      <c r="AZ366" s="117">
        <v>101000</v>
      </c>
      <c r="BA366" s="117">
        <v>101000</v>
      </c>
      <c r="BC366" s="289"/>
      <c r="BE366" s="26">
        <v>101000</v>
      </c>
      <c r="BF366" s="26">
        <v>90171.17</v>
      </c>
      <c r="BH366" s="26">
        <v>101000</v>
      </c>
      <c r="BI366" s="244"/>
      <c r="BJ366" s="16">
        <f t="shared" si="189"/>
        <v>101000</v>
      </c>
      <c r="BK366" s="122">
        <f>IF(BH366=0," ",(BJ366-BH366)/BH366)</f>
        <v>0</v>
      </c>
      <c r="BM366" s="117">
        <v>101000</v>
      </c>
      <c r="BN366" s="117">
        <v>101000</v>
      </c>
      <c r="BP366" s="525" t="s">
        <v>1132</v>
      </c>
      <c r="BR366" s="117">
        <v>101000</v>
      </c>
      <c r="BS366" s="26">
        <v>33624.85</v>
      </c>
      <c r="BU366" s="26">
        <v>101000</v>
      </c>
      <c r="BV366" s="403">
        <v>-10000</v>
      </c>
      <c r="BW366" s="576">
        <f t="shared" si="191"/>
        <v>91000</v>
      </c>
      <c r="BX366" s="577">
        <f t="shared" ref="BX366:BX373" si="193">IF(BU366=0," ",(BW366-BU366)/BU366)</f>
        <v>-9.9009900990099015E-2</v>
      </c>
      <c r="BZ366" s="166">
        <v>91000</v>
      </c>
      <c r="CA366" s="166">
        <v>91000</v>
      </c>
      <c r="CB366" s="747"/>
      <c r="CC366" s="779" t="s">
        <v>1316</v>
      </c>
      <c r="CE366" s="166">
        <v>91000</v>
      </c>
      <c r="CF366" s="166"/>
      <c r="CJ366" s="886"/>
      <c r="CO366" s="16"/>
    </row>
    <row r="367" spans="1:93" x14ac:dyDescent="0.3">
      <c r="A367" s="11">
        <v>220</v>
      </c>
      <c r="B367" s="3" t="s">
        <v>2</v>
      </c>
      <c r="C367" s="37">
        <v>22002</v>
      </c>
      <c r="D367" s="37">
        <v>51316</v>
      </c>
      <c r="E367" s="49" t="s">
        <v>11</v>
      </c>
      <c r="F367" s="3" t="s">
        <v>2</v>
      </c>
      <c r="G367" s="3" t="s">
        <v>71</v>
      </c>
      <c r="H367" s="26">
        <v>20681</v>
      </c>
      <c r="I367" s="244">
        <v>584</v>
      </c>
      <c r="J367" s="16">
        <f t="shared" si="180"/>
        <v>21265</v>
      </c>
      <c r="K367" s="122">
        <f t="shared" si="181"/>
        <v>2.8238479764034621E-2</v>
      </c>
      <c r="M367" s="117">
        <v>21265</v>
      </c>
      <c r="N367" s="117">
        <v>21265</v>
      </c>
      <c r="P367" s="259"/>
      <c r="R367" s="26">
        <v>21265</v>
      </c>
      <c r="S367" s="26">
        <v>20009.419999999998</v>
      </c>
      <c r="U367" s="26">
        <v>21265</v>
      </c>
      <c r="V367" s="244">
        <v>0</v>
      </c>
      <c r="W367" s="16">
        <f t="shared" si="182"/>
        <v>21265</v>
      </c>
      <c r="X367" s="122">
        <f t="shared" si="183"/>
        <v>0</v>
      </c>
      <c r="Z367" s="117">
        <v>21265</v>
      </c>
      <c r="AA367" s="117">
        <v>21500</v>
      </c>
      <c r="AC367" s="259"/>
      <c r="AE367" s="26">
        <v>21500</v>
      </c>
      <c r="AF367" s="200">
        <v>19640.29</v>
      </c>
      <c r="AH367" s="26">
        <v>21500</v>
      </c>
      <c r="AI367" s="244">
        <v>500</v>
      </c>
      <c r="AJ367" s="16">
        <f t="shared" si="184"/>
        <v>22000</v>
      </c>
      <c r="AK367" s="122">
        <f t="shared" si="185"/>
        <v>2.3255813953488372E-2</v>
      </c>
      <c r="AM367" s="117">
        <v>22000</v>
      </c>
      <c r="AN367" s="117">
        <v>22000</v>
      </c>
      <c r="AP367" s="259" t="s">
        <v>833</v>
      </c>
      <c r="AR367" s="26">
        <v>22000</v>
      </c>
      <c r="AS367" s="26">
        <v>21218.59</v>
      </c>
      <c r="AU367" s="26">
        <f t="shared" si="186"/>
        <v>22000</v>
      </c>
      <c r="AV367" s="244"/>
      <c r="AW367" s="16">
        <f t="shared" si="187"/>
        <v>22000</v>
      </c>
      <c r="AX367" s="122">
        <f>IF(AU367=0," ",(AW367-AU367)/AU367)</f>
        <v>0</v>
      </c>
      <c r="AZ367" s="117">
        <v>22000</v>
      </c>
      <c r="BA367" s="117">
        <v>22000</v>
      </c>
      <c r="BC367" s="259"/>
      <c r="BE367" s="26">
        <v>22000</v>
      </c>
      <c r="BF367" s="26">
        <v>39257.449999999997</v>
      </c>
      <c r="BH367" s="26">
        <v>22000</v>
      </c>
      <c r="BI367" s="244"/>
      <c r="BJ367" s="16">
        <f t="shared" si="189"/>
        <v>22000</v>
      </c>
      <c r="BK367" s="122">
        <f>IF(BH367=0," ",(BJ367-BH367)/BH367)</f>
        <v>0</v>
      </c>
      <c r="BM367" s="117">
        <v>22000</v>
      </c>
      <c r="BN367" s="117">
        <f>22000+13500</f>
        <v>35500</v>
      </c>
      <c r="BP367" s="289" t="s">
        <v>1197</v>
      </c>
      <c r="BR367" s="117">
        <f>22000+13500</f>
        <v>35500</v>
      </c>
      <c r="BS367" s="26">
        <v>15317.71</v>
      </c>
      <c r="BU367" s="26">
        <f>22000+13500</f>
        <v>35500</v>
      </c>
      <c r="BV367" s="244"/>
      <c r="BW367" s="576">
        <f t="shared" si="191"/>
        <v>35500</v>
      </c>
      <c r="BX367" s="577">
        <f t="shared" si="193"/>
        <v>0</v>
      </c>
      <c r="BZ367" s="166">
        <v>35500</v>
      </c>
      <c r="CA367" s="166">
        <v>35500</v>
      </c>
      <c r="CB367" s="747"/>
      <c r="CC367" s="779"/>
      <c r="CE367" s="166">
        <v>35500</v>
      </c>
      <c r="CF367" s="166"/>
      <c r="CJ367" s="886"/>
      <c r="CO367" s="16"/>
    </row>
    <row r="368" spans="1:93" ht="14.25" customHeight="1" x14ac:dyDescent="0.3">
      <c r="A368" s="11">
        <v>220</v>
      </c>
      <c r="B368" s="3" t="s">
        <v>2</v>
      </c>
      <c r="C368" s="37">
        <v>22002</v>
      </c>
      <c r="D368" s="37">
        <v>51490</v>
      </c>
      <c r="E368" s="49" t="s">
        <v>11</v>
      </c>
      <c r="F368" s="3" t="s">
        <v>2</v>
      </c>
      <c r="G368" s="3" t="s">
        <v>72</v>
      </c>
      <c r="H368" s="26">
        <v>7425</v>
      </c>
      <c r="I368" s="244">
        <v>-3825</v>
      </c>
      <c r="J368" s="16">
        <f t="shared" si="180"/>
        <v>3600</v>
      </c>
      <c r="K368" s="122">
        <f t="shared" si="181"/>
        <v>-0.51515151515151514</v>
      </c>
      <c r="M368" s="117">
        <v>3600</v>
      </c>
      <c r="N368" s="117">
        <v>3600</v>
      </c>
      <c r="P368" s="259"/>
      <c r="R368" s="26">
        <v>3600</v>
      </c>
      <c r="S368" s="26">
        <v>7200</v>
      </c>
      <c r="U368" s="26">
        <v>3600</v>
      </c>
      <c r="V368" s="244">
        <v>0</v>
      </c>
      <c r="W368" s="16">
        <f t="shared" si="182"/>
        <v>3600</v>
      </c>
      <c r="X368" s="122">
        <f t="shared" si="183"/>
        <v>0</v>
      </c>
      <c r="Z368" s="117">
        <v>3600</v>
      </c>
      <c r="AA368" s="117">
        <v>3900</v>
      </c>
      <c r="AC368" s="259" t="s">
        <v>713</v>
      </c>
      <c r="AE368" s="26">
        <v>3900</v>
      </c>
      <c r="AF368" s="200">
        <v>3900</v>
      </c>
      <c r="AH368" s="26">
        <v>3900</v>
      </c>
      <c r="AI368" s="244">
        <v>-800</v>
      </c>
      <c r="AJ368" s="16">
        <f t="shared" si="184"/>
        <v>3100</v>
      </c>
      <c r="AK368" s="122">
        <f t="shared" si="185"/>
        <v>-0.20512820512820512</v>
      </c>
      <c r="AM368" s="117">
        <v>3100</v>
      </c>
      <c r="AN368" s="117">
        <v>3100</v>
      </c>
      <c r="AP368" s="259" t="s">
        <v>834</v>
      </c>
      <c r="AR368" s="26">
        <v>3100</v>
      </c>
      <c r="AS368" s="26">
        <v>3250</v>
      </c>
      <c r="AU368" s="26">
        <f t="shared" si="186"/>
        <v>3100</v>
      </c>
      <c r="AV368" s="244">
        <v>150</v>
      </c>
      <c r="AW368" s="16">
        <f t="shared" si="187"/>
        <v>3250</v>
      </c>
      <c r="AX368" s="122">
        <f>IF(AU368=0," ",(AW368-AU368)/AU368)</f>
        <v>4.8387096774193547E-2</v>
      </c>
      <c r="AZ368" s="117">
        <v>3250</v>
      </c>
      <c r="BA368" s="117">
        <v>3250</v>
      </c>
      <c r="BC368" s="334" t="s">
        <v>1026</v>
      </c>
      <c r="BE368" s="26">
        <v>3250</v>
      </c>
      <c r="BF368" s="26">
        <v>2775</v>
      </c>
      <c r="BH368" s="26">
        <v>3250</v>
      </c>
      <c r="BI368" s="244">
        <v>425</v>
      </c>
      <c r="BJ368" s="16">
        <f t="shared" si="189"/>
        <v>3675</v>
      </c>
      <c r="BK368" s="122">
        <f>IF(BH368=0," ",(BJ368-BH368)/BH368)</f>
        <v>0.13076923076923078</v>
      </c>
      <c r="BM368" s="117">
        <v>3675</v>
      </c>
      <c r="BN368" s="117">
        <v>3675</v>
      </c>
      <c r="BP368" s="259" t="s">
        <v>816</v>
      </c>
      <c r="BR368" s="117">
        <v>3675</v>
      </c>
      <c r="BS368" s="26">
        <v>3675</v>
      </c>
      <c r="BU368" s="26">
        <v>3675</v>
      </c>
      <c r="BV368" s="244">
        <v>125</v>
      </c>
      <c r="BW368" s="576">
        <f t="shared" si="191"/>
        <v>3800</v>
      </c>
      <c r="BX368" s="577">
        <f t="shared" si="193"/>
        <v>3.4013605442176874E-2</v>
      </c>
      <c r="BZ368" s="166">
        <v>3800</v>
      </c>
      <c r="CA368" s="166">
        <v>3800</v>
      </c>
      <c r="CB368" s="747"/>
      <c r="CC368" s="766" t="s">
        <v>816</v>
      </c>
      <c r="CE368" s="166">
        <v>3800</v>
      </c>
      <c r="CF368" s="166"/>
      <c r="CJ368" s="886"/>
      <c r="CO368" s="16"/>
    </row>
    <row r="369" spans="1:93" s="1" customFormat="1" x14ac:dyDescent="0.3">
      <c r="A369" s="11">
        <v>220</v>
      </c>
      <c r="B369" s="3" t="s">
        <v>2</v>
      </c>
      <c r="C369" s="37">
        <v>22002</v>
      </c>
      <c r="D369" s="35">
        <v>51910</v>
      </c>
      <c r="E369" s="49" t="s">
        <v>11</v>
      </c>
      <c r="F369" s="3" t="s">
        <v>2</v>
      </c>
      <c r="G369" s="3" t="s">
        <v>73</v>
      </c>
      <c r="H369" s="146">
        <v>56911</v>
      </c>
      <c r="I369" s="246"/>
      <c r="J369" s="31">
        <f>H369+I369</f>
        <v>56911</v>
      </c>
      <c r="K369" s="148">
        <v>0</v>
      </c>
      <c r="L369" s="6"/>
      <c r="M369" s="147">
        <v>56911</v>
      </c>
      <c r="N369" s="147">
        <v>56911</v>
      </c>
      <c r="O369" s="6"/>
      <c r="P369" s="149"/>
      <c r="Q369" s="6"/>
      <c r="R369" s="146">
        <v>56911</v>
      </c>
      <c r="S369" s="146">
        <v>55133.55</v>
      </c>
      <c r="T369" s="6"/>
      <c r="U369" s="146">
        <v>56911</v>
      </c>
      <c r="V369" s="246">
        <v>0</v>
      </c>
      <c r="W369" s="31">
        <f>U369+V369</f>
        <v>56911</v>
      </c>
      <c r="X369" s="148">
        <v>0</v>
      </c>
      <c r="Y369" s="6"/>
      <c r="Z369" s="147">
        <v>56911</v>
      </c>
      <c r="AA369" s="147">
        <v>60000</v>
      </c>
      <c r="AB369" s="6"/>
      <c r="AC369" s="149"/>
      <c r="AD369" s="6"/>
      <c r="AE369" s="146">
        <v>60000</v>
      </c>
      <c r="AF369" s="272">
        <v>54823.6</v>
      </c>
      <c r="AG369" s="6"/>
      <c r="AH369" s="146">
        <v>60000</v>
      </c>
      <c r="AI369" s="246"/>
      <c r="AJ369" s="31">
        <f t="shared" si="184"/>
        <v>60000</v>
      </c>
      <c r="AK369" s="148">
        <v>0</v>
      </c>
      <c r="AL369" s="6"/>
      <c r="AM369" s="147">
        <v>60000</v>
      </c>
      <c r="AN369" s="147">
        <v>60000</v>
      </c>
      <c r="AO369" s="6"/>
      <c r="AP369" s="149"/>
      <c r="AQ369" s="6"/>
      <c r="AR369" s="146">
        <v>60000</v>
      </c>
      <c r="AS369" s="146">
        <v>52827.28</v>
      </c>
      <c r="AT369" s="6"/>
      <c r="AU369" s="26">
        <f t="shared" si="186"/>
        <v>60000</v>
      </c>
      <c r="AV369" s="246"/>
      <c r="AW369" s="31">
        <f t="shared" si="187"/>
        <v>60000</v>
      </c>
      <c r="AX369" s="148">
        <v>0</v>
      </c>
      <c r="AY369" s="6"/>
      <c r="AZ369" s="147">
        <v>60000</v>
      </c>
      <c r="BA369" s="147">
        <v>60000</v>
      </c>
      <c r="BB369" s="6"/>
      <c r="BC369" s="149"/>
      <c r="BD369" s="6"/>
      <c r="BE369" s="146">
        <v>60000</v>
      </c>
      <c r="BF369" s="146">
        <v>72996.03</v>
      </c>
      <c r="BG369" s="6"/>
      <c r="BH369" s="146">
        <v>60000</v>
      </c>
      <c r="BI369" s="246"/>
      <c r="BJ369" s="31">
        <f t="shared" si="189"/>
        <v>60000</v>
      </c>
      <c r="BK369" s="148">
        <v>0</v>
      </c>
      <c r="BL369" s="6"/>
      <c r="BM369" s="147">
        <v>60000</v>
      </c>
      <c r="BN369" s="147">
        <f>60000+5000</f>
        <v>65000</v>
      </c>
      <c r="BO369" s="6"/>
      <c r="BP369" s="526" t="s">
        <v>1190</v>
      </c>
      <c r="BQ369" s="6"/>
      <c r="BR369" s="147">
        <f>60000+5000</f>
        <v>65000</v>
      </c>
      <c r="BS369" s="146">
        <v>21238.720000000001</v>
      </c>
      <c r="BT369" s="6"/>
      <c r="BU369" s="146">
        <f>60000+5000</f>
        <v>65000</v>
      </c>
      <c r="BV369" s="244">
        <v>1300</v>
      </c>
      <c r="BW369" s="583">
        <f t="shared" si="191"/>
        <v>66300</v>
      </c>
      <c r="BX369" s="577">
        <f t="shared" si="193"/>
        <v>0.02</v>
      </c>
      <c r="BY369" s="599"/>
      <c r="BZ369" s="585">
        <v>66300</v>
      </c>
      <c r="CA369" s="585">
        <v>66300</v>
      </c>
      <c r="CB369" s="746"/>
      <c r="CC369" s="779" t="s">
        <v>676</v>
      </c>
      <c r="CD369" s="599"/>
      <c r="CE369" s="585">
        <v>66300</v>
      </c>
      <c r="CF369" s="585"/>
      <c r="CG369" s="6"/>
      <c r="CH369" s="812"/>
      <c r="CI369" s="812"/>
      <c r="CJ369" s="886"/>
      <c r="CO369" s="16"/>
    </row>
    <row r="370" spans="1:93" s="1" customFormat="1" x14ac:dyDescent="0.3">
      <c r="A370" s="11">
        <v>220</v>
      </c>
      <c r="B370" s="3" t="s">
        <v>2</v>
      </c>
      <c r="C370" s="37">
        <v>22002</v>
      </c>
      <c r="D370" s="35">
        <v>51912</v>
      </c>
      <c r="E370" s="49" t="s">
        <v>11</v>
      </c>
      <c r="F370" s="3" t="s">
        <v>2</v>
      </c>
      <c r="G370" s="3" t="s">
        <v>723</v>
      </c>
      <c r="H370" s="146"/>
      <c r="I370" s="246"/>
      <c r="J370" s="31"/>
      <c r="K370" s="148"/>
      <c r="L370" s="6"/>
      <c r="M370" s="147"/>
      <c r="N370" s="147"/>
      <c r="O370" s="6"/>
      <c r="P370" s="149"/>
      <c r="Q370" s="6"/>
      <c r="R370" s="146"/>
      <c r="S370" s="146"/>
      <c r="T370" s="6"/>
      <c r="U370" s="146"/>
      <c r="V370" s="246"/>
      <c r="W370" s="31"/>
      <c r="X370" s="148"/>
      <c r="Y370" s="6"/>
      <c r="Z370" s="147"/>
      <c r="AA370" s="147">
        <v>3200</v>
      </c>
      <c r="AB370" s="6"/>
      <c r="AC370" s="149" t="s">
        <v>722</v>
      </c>
      <c r="AD370" s="6"/>
      <c r="AE370" s="146">
        <v>3200</v>
      </c>
      <c r="AF370" s="272">
        <v>1509.7</v>
      </c>
      <c r="AG370" s="6"/>
      <c r="AH370" s="146">
        <v>3200</v>
      </c>
      <c r="AI370" s="246"/>
      <c r="AJ370" s="31">
        <f t="shared" si="184"/>
        <v>3200</v>
      </c>
      <c r="AK370" s="148">
        <v>0</v>
      </c>
      <c r="AL370" s="6"/>
      <c r="AM370" s="147">
        <v>3200</v>
      </c>
      <c r="AN370" s="147">
        <v>3200</v>
      </c>
      <c r="AO370" s="6"/>
      <c r="AP370" s="149"/>
      <c r="AQ370" s="6"/>
      <c r="AR370" s="146">
        <v>3200</v>
      </c>
      <c r="AS370" s="146">
        <v>2600</v>
      </c>
      <c r="AT370" s="6"/>
      <c r="AU370" s="26">
        <f t="shared" si="186"/>
        <v>3200</v>
      </c>
      <c r="AV370" s="246"/>
      <c r="AW370" s="31">
        <f t="shared" si="187"/>
        <v>3200</v>
      </c>
      <c r="AX370" s="148">
        <v>0</v>
      </c>
      <c r="AY370" s="6"/>
      <c r="AZ370" s="147">
        <v>3200</v>
      </c>
      <c r="BA370" s="147">
        <v>3200</v>
      </c>
      <c r="BB370" s="6"/>
      <c r="BC370" s="149"/>
      <c r="BD370" s="6"/>
      <c r="BE370" s="146">
        <v>3200</v>
      </c>
      <c r="BF370" s="146">
        <v>3038.51</v>
      </c>
      <c r="BG370" s="6"/>
      <c r="BH370" s="146">
        <v>3200</v>
      </c>
      <c r="BI370" s="246"/>
      <c r="BJ370" s="31">
        <f t="shared" si="189"/>
        <v>3200</v>
      </c>
      <c r="BK370" s="148">
        <v>0</v>
      </c>
      <c r="BL370" s="6"/>
      <c r="BM370" s="147">
        <v>3200</v>
      </c>
      <c r="BN370" s="147">
        <v>3200</v>
      </c>
      <c r="BO370" s="6"/>
      <c r="BP370" s="149"/>
      <c r="BQ370" s="6"/>
      <c r="BR370" s="147">
        <v>3200</v>
      </c>
      <c r="BS370" s="146">
        <v>1476.96</v>
      </c>
      <c r="BT370" s="6"/>
      <c r="BU370" s="146">
        <v>3200</v>
      </c>
      <c r="BV370" s="244"/>
      <c r="BW370" s="583">
        <f t="shared" si="191"/>
        <v>3200</v>
      </c>
      <c r="BX370" s="577">
        <f t="shared" si="193"/>
        <v>0</v>
      </c>
      <c r="BY370" s="599"/>
      <c r="BZ370" s="585">
        <v>3200</v>
      </c>
      <c r="CA370" s="585">
        <v>3200</v>
      </c>
      <c r="CB370" s="746"/>
      <c r="CC370" s="766" t="s">
        <v>816</v>
      </c>
      <c r="CD370" s="599"/>
      <c r="CE370" s="585">
        <v>3200</v>
      </c>
      <c r="CF370" s="585"/>
      <c r="CG370" s="6"/>
      <c r="CH370" s="812"/>
      <c r="CI370" s="812"/>
      <c r="CJ370" s="886"/>
      <c r="CO370" s="16"/>
    </row>
    <row r="371" spans="1:93" s="1" customFormat="1" x14ac:dyDescent="0.3">
      <c r="A371" s="11">
        <v>220</v>
      </c>
      <c r="B371" s="3" t="s">
        <v>2</v>
      </c>
      <c r="C371" s="37">
        <v>22002</v>
      </c>
      <c r="D371" s="35">
        <v>51916</v>
      </c>
      <c r="E371" s="49" t="s">
        <v>11</v>
      </c>
      <c r="F371" s="3"/>
      <c r="G371" s="3" t="s">
        <v>717</v>
      </c>
      <c r="H371" s="146"/>
      <c r="I371" s="246"/>
      <c r="J371" s="31"/>
      <c r="K371" s="148"/>
      <c r="L371" s="6"/>
      <c r="M371" s="147"/>
      <c r="N371" s="147"/>
      <c r="O371" s="6"/>
      <c r="P371" s="149"/>
      <c r="Q371" s="6"/>
      <c r="R371" s="146"/>
      <c r="S371" s="146"/>
      <c r="T371" s="6"/>
      <c r="U371" s="146"/>
      <c r="V371" s="246"/>
      <c r="W371" s="31"/>
      <c r="X371" s="148"/>
      <c r="Y371" s="6"/>
      <c r="Z371" s="147"/>
      <c r="AA371" s="147">
        <v>3000</v>
      </c>
      <c r="AB371" s="6"/>
      <c r="AC371" s="149" t="s">
        <v>720</v>
      </c>
      <c r="AD371" s="6"/>
      <c r="AE371" s="146">
        <v>3000</v>
      </c>
      <c r="AF371" s="272">
        <v>2000</v>
      </c>
      <c r="AG371" s="6"/>
      <c r="AH371" s="146">
        <v>3000</v>
      </c>
      <c r="AI371" s="246">
        <v>-1000</v>
      </c>
      <c r="AJ371" s="31">
        <f t="shared" si="184"/>
        <v>2000</v>
      </c>
      <c r="AK371" s="148">
        <v>0</v>
      </c>
      <c r="AL371" s="6"/>
      <c r="AM371" s="147">
        <v>2000</v>
      </c>
      <c r="AN371" s="147">
        <v>2000</v>
      </c>
      <c r="AO371" s="6"/>
      <c r="AP371" s="259" t="s">
        <v>833</v>
      </c>
      <c r="AQ371" s="6"/>
      <c r="AR371" s="146">
        <v>2000</v>
      </c>
      <c r="AS371" s="146">
        <v>1250</v>
      </c>
      <c r="AT371" s="6"/>
      <c r="AU371" s="26">
        <f t="shared" si="186"/>
        <v>2000</v>
      </c>
      <c r="AV371" s="246"/>
      <c r="AW371" s="31">
        <f t="shared" si="187"/>
        <v>2000</v>
      </c>
      <c r="AX371" s="148">
        <v>0</v>
      </c>
      <c r="AY371" s="6"/>
      <c r="AZ371" s="147">
        <v>2000</v>
      </c>
      <c r="BA371" s="147">
        <v>2000</v>
      </c>
      <c r="BB371" s="6"/>
      <c r="BC371" s="259"/>
      <c r="BD371" s="6"/>
      <c r="BE371" s="146">
        <v>2000</v>
      </c>
      <c r="BF371" s="146">
        <v>1500</v>
      </c>
      <c r="BG371" s="6"/>
      <c r="BH371" s="146">
        <v>2000</v>
      </c>
      <c r="BI371" s="246">
        <v>500</v>
      </c>
      <c r="BJ371" s="31">
        <f t="shared" si="189"/>
        <v>2500</v>
      </c>
      <c r="BK371" s="148">
        <v>0</v>
      </c>
      <c r="BL371" s="6"/>
      <c r="BM371" s="147">
        <v>2500</v>
      </c>
      <c r="BN371" s="147">
        <v>2500</v>
      </c>
      <c r="BO371" s="6"/>
      <c r="BP371" s="259" t="s">
        <v>816</v>
      </c>
      <c r="BQ371" s="6"/>
      <c r="BR371" s="147">
        <v>2500</v>
      </c>
      <c r="BS371" s="146">
        <v>1250</v>
      </c>
      <c r="BT371" s="6"/>
      <c r="BU371" s="146">
        <v>2500</v>
      </c>
      <c r="BV371" s="244">
        <v>-1250</v>
      </c>
      <c r="BW371" s="583">
        <f t="shared" si="191"/>
        <v>1250</v>
      </c>
      <c r="BX371" s="577">
        <f t="shared" si="193"/>
        <v>-0.5</v>
      </c>
      <c r="BY371" s="599"/>
      <c r="BZ371" s="585">
        <v>1250</v>
      </c>
      <c r="CA371" s="585">
        <v>1250</v>
      </c>
      <c r="CB371" s="746"/>
      <c r="CC371" s="766" t="s">
        <v>816</v>
      </c>
      <c r="CD371" s="599"/>
      <c r="CE371" s="585">
        <v>1250</v>
      </c>
      <c r="CF371" s="585"/>
      <c r="CG371" s="6"/>
      <c r="CH371" s="812"/>
      <c r="CI371" s="812"/>
      <c r="CJ371" s="886"/>
      <c r="CO371" s="16"/>
    </row>
    <row r="372" spans="1:93" s="1" customFormat="1" x14ac:dyDescent="0.3">
      <c r="A372" s="11">
        <v>220</v>
      </c>
      <c r="B372" s="3" t="s">
        <v>2</v>
      </c>
      <c r="C372" s="37">
        <v>22002</v>
      </c>
      <c r="D372" s="35">
        <v>51920</v>
      </c>
      <c r="E372" s="49" t="s">
        <v>11</v>
      </c>
      <c r="F372" s="3" t="s">
        <v>2</v>
      </c>
      <c r="G372" s="287" t="s">
        <v>907</v>
      </c>
      <c r="H372" s="26"/>
      <c r="I372" s="245"/>
      <c r="J372" s="16">
        <f t="shared" si="180"/>
        <v>0</v>
      </c>
      <c r="K372" s="122">
        <v>0</v>
      </c>
      <c r="M372" s="118"/>
      <c r="N372" s="118"/>
      <c r="P372" s="137"/>
      <c r="R372" s="144"/>
      <c r="S372" s="144"/>
      <c r="U372" s="144"/>
      <c r="V372" s="245">
        <v>0</v>
      </c>
      <c r="W372" s="16">
        <f t="shared" si="182"/>
        <v>0</v>
      </c>
      <c r="X372" s="122">
        <v>0</v>
      </c>
      <c r="Z372" s="118"/>
      <c r="AA372" s="118">
        <v>9130</v>
      </c>
      <c r="AC372" s="137" t="s">
        <v>718</v>
      </c>
      <c r="AE372" s="144">
        <v>9130</v>
      </c>
      <c r="AF372" s="271">
        <v>5680</v>
      </c>
      <c r="AH372" s="144">
        <v>9130</v>
      </c>
      <c r="AI372" s="245">
        <v>-700</v>
      </c>
      <c r="AJ372" s="16">
        <f t="shared" si="184"/>
        <v>8430</v>
      </c>
      <c r="AK372" s="122">
        <v>0</v>
      </c>
      <c r="AM372" s="117">
        <v>8430</v>
      </c>
      <c r="AN372" s="117">
        <v>8430</v>
      </c>
      <c r="AP372" s="137" t="s">
        <v>833</v>
      </c>
      <c r="AR372" s="26">
        <v>8430</v>
      </c>
      <c r="AS372" s="26">
        <v>2900</v>
      </c>
      <c r="AU372" s="26">
        <f t="shared" si="186"/>
        <v>8430</v>
      </c>
      <c r="AV372" s="245">
        <f>1100+400</f>
        <v>1500</v>
      </c>
      <c r="AW372" s="16">
        <f>AU372+AV372</f>
        <v>9930</v>
      </c>
      <c r="AX372" s="122">
        <v>0</v>
      </c>
      <c r="AZ372" s="117">
        <v>9530</v>
      </c>
      <c r="BA372" s="117">
        <v>9530</v>
      </c>
      <c r="BC372" s="333" t="s">
        <v>1026</v>
      </c>
      <c r="BE372" s="26">
        <v>9530</v>
      </c>
      <c r="BF372" s="26">
        <v>10450</v>
      </c>
      <c r="BH372" s="26">
        <v>9530</v>
      </c>
      <c r="BI372" s="245">
        <v>2420</v>
      </c>
      <c r="BJ372" s="16">
        <f>BH372+BI372</f>
        <v>11950</v>
      </c>
      <c r="BK372" s="122">
        <v>0</v>
      </c>
      <c r="BM372" s="117">
        <v>11950</v>
      </c>
      <c r="BN372" s="117">
        <v>11950</v>
      </c>
      <c r="BP372" s="333" t="s">
        <v>816</v>
      </c>
      <c r="BR372" s="117">
        <v>11950</v>
      </c>
      <c r="BS372" s="144">
        <v>12350</v>
      </c>
      <c r="BU372" s="26">
        <v>11950</v>
      </c>
      <c r="BV372" s="244">
        <v>2100</v>
      </c>
      <c r="BW372" s="576">
        <f>BU372+BV372</f>
        <v>14050</v>
      </c>
      <c r="BX372" s="577">
        <f t="shared" si="193"/>
        <v>0.17573221757322174</v>
      </c>
      <c r="BY372" s="573"/>
      <c r="BZ372" s="166">
        <v>14050</v>
      </c>
      <c r="CA372" s="166">
        <f>14050+2800</f>
        <v>16850</v>
      </c>
      <c r="CB372" s="748"/>
      <c r="CC372" s="767" t="s">
        <v>1317</v>
      </c>
      <c r="CD372" s="573"/>
      <c r="CE372" s="247">
        <v>16850</v>
      </c>
      <c r="CF372" s="166"/>
      <c r="CH372" s="812">
        <v>2800</v>
      </c>
      <c r="CI372" s="812"/>
      <c r="CJ372" s="886"/>
      <c r="CO372" s="16"/>
    </row>
    <row r="373" spans="1:93" x14ac:dyDescent="0.3">
      <c r="A373" s="12"/>
      <c r="H373" s="32">
        <f>SUM(H361:H372)</f>
        <v>530351</v>
      </c>
      <c r="I373" s="32">
        <f>SUM(I361:I372)</f>
        <v>-2529</v>
      </c>
      <c r="J373" s="32">
        <f>SUM(J361:J372)</f>
        <v>527822</v>
      </c>
      <c r="K373" s="128">
        <f>IF(H373=0," ",(J373-H373)/H373)</f>
        <v>-4.7685400800601867E-3</v>
      </c>
      <c r="M373" s="32">
        <f>SUM(M361:M372)</f>
        <v>527822</v>
      </c>
      <c r="N373" s="32">
        <f>SUM(N361:N372)</f>
        <v>537987</v>
      </c>
      <c r="P373" s="141">
        <f>SUM(P361:P372)</f>
        <v>0</v>
      </c>
      <c r="R373" s="145">
        <f>SUM(R361:R372)</f>
        <v>537987</v>
      </c>
      <c r="S373" s="32">
        <f>SUM(S361:S372)</f>
        <v>486814.29</v>
      </c>
      <c r="U373" s="32">
        <f>SUM(U361:U372)</f>
        <v>537987</v>
      </c>
      <c r="V373" s="32">
        <f>SUM(V361:V372)</f>
        <v>874</v>
      </c>
      <c r="W373" s="32">
        <f>SUM(W361:W372)</f>
        <v>538861</v>
      </c>
      <c r="X373" s="128">
        <f>IF(U373=0," ",(W373-U373)/U373)</f>
        <v>1.624574571504516E-3</v>
      </c>
      <c r="Z373" s="32">
        <f>SUM(Z361:Z372)</f>
        <v>538861</v>
      </c>
      <c r="AA373" s="32">
        <f>SUM(AA361:AA372)</f>
        <v>613145</v>
      </c>
      <c r="AC373" s="3"/>
      <c r="AE373" s="32">
        <f>SUM(AE361:AE372)</f>
        <v>613145</v>
      </c>
      <c r="AF373" s="274">
        <f>SUM(AF361:AF372)</f>
        <v>509746.22</v>
      </c>
      <c r="AH373" s="145">
        <v>613145</v>
      </c>
      <c r="AI373" s="32">
        <f>SUM(AI361:AI372)</f>
        <v>11946</v>
      </c>
      <c r="AJ373" s="32">
        <f>SUM(AJ361:AJ372)</f>
        <v>625091</v>
      </c>
      <c r="AK373" s="128">
        <f>IF(AH373=0," ",(AJ373-AH373)/AH373)</f>
        <v>1.9483156512733531E-2</v>
      </c>
      <c r="AM373" s="32">
        <f>SUM(AM361:AM372)</f>
        <v>669091</v>
      </c>
      <c r="AN373" s="32">
        <f>SUM(AN361:AN372)</f>
        <v>669091</v>
      </c>
      <c r="AP373" s="3"/>
      <c r="AR373" s="145">
        <f>SUM(AR361:AR372)</f>
        <v>669091</v>
      </c>
      <c r="AS373" s="145">
        <f>SUM(AS361:AS372)</f>
        <v>625892.45000000007</v>
      </c>
      <c r="AU373" s="145">
        <f>SUM(AU361:AU372)</f>
        <v>669091</v>
      </c>
      <c r="AV373" s="32">
        <f>SUM(AV361:AV372)</f>
        <v>3900</v>
      </c>
      <c r="AW373" s="32">
        <f>SUM(AW361:AW372)</f>
        <v>672991</v>
      </c>
      <c r="AX373" s="128">
        <f>IF(AU373=0," ",(AW373-AU373)/AU373)</f>
        <v>5.8288035558690821E-3</v>
      </c>
      <c r="AZ373" s="32">
        <f>SUM(AZ361:AZ372)</f>
        <v>672509</v>
      </c>
      <c r="BA373" s="32">
        <f>SUM(BA361:BA372)</f>
        <v>734181</v>
      </c>
      <c r="BC373" s="3"/>
      <c r="BE373" s="145">
        <f>SUM(BE361:BE372)</f>
        <v>734181</v>
      </c>
      <c r="BF373" s="145">
        <f>SUM(BF361:BF372)</f>
        <v>755100.34000000008</v>
      </c>
      <c r="BH373" s="145">
        <f>SUM(BH361:BH372)</f>
        <v>734181</v>
      </c>
      <c r="BI373" s="32">
        <f>SUM(BI361:BI372)</f>
        <v>10998</v>
      </c>
      <c r="BJ373" s="32">
        <f>SUM(BJ361:BJ372)</f>
        <v>745179</v>
      </c>
      <c r="BK373" s="128">
        <f>IF(BH373=0," ",(BJ373-BH373)/BH373)</f>
        <v>1.4979957258496202E-2</v>
      </c>
      <c r="BM373" s="145">
        <f>SUM(BM361:BM372)</f>
        <v>745179</v>
      </c>
      <c r="BN373" s="145">
        <f>SUM(BN361:BN372)</f>
        <v>773679</v>
      </c>
      <c r="BP373" s="3"/>
      <c r="BR373" s="145">
        <f>SUM(BR361:BR372)</f>
        <v>773679</v>
      </c>
      <c r="BS373" s="145">
        <f>SUM(BS361:BS372)</f>
        <v>346024.7</v>
      </c>
      <c r="BU373" s="145">
        <f>SUM(BU361:BU372)</f>
        <v>773679</v>
      </c>
      <c r="BV373" s="32">
        <f>SUM(BV361:BV372)</f>
        <v>22963</v>
      </c>
      <c r="BW373" s="595">
        <f>SUM(BW361:BW372)</f>
        <v>796642</v>
      </c>
      <c r="BX373" s="596">
        <f t="shared" si="193"/>
        <v>2.9680267914729493E-2</v>
      </c>
      <c r="BZ373" s="597">
        <f>SUM(BZ361:BZ372)</f>
        <v>796642</v>
      </c>
      <c r="CA373" s="597">
        <f>SUM(CA361:CA372)</f>
        <v>919989</v>
      </c>
      <c r="CC373" s="781"/>
      <c r="CE373" s="597">
        <f>SUM(CE361:CE372)</f>
        <v>919989</v>
      </c>
      <c r="CF373" s="597">
        <f>SUM(CF361:CF372)</f>
        <v>0</v>
      </c>
      <c r="CJ373" s="886"/>
      <c r="CO373" s="16"/>
    </row>
    <row r="374" spans="1:93" x14ac:dyDescent="0.3">
      <c r="R374" s="26"/>
      <c r="AH374" s="26"/>
      <c r="AS374" s="26"/>
      <c r="BE374" s="26"/>
      <c r="BF374" s="26"/>
      <c r="BH374" s="26"/>
      <c r="BM374" s="26"/>
      <c r="BN374" s="26"/>
      <c r="BR374" s="26"/>
      <c r="BU374" s="26"/>
      <c r="BZ374" s="589"/>
      <c r="CA374" s="589"/>
      <c r="CE374" s="589"/>
      <c r="CF374" s="589"/>
      <c r="CJ374" s="886"/>
      <c r="CO374" s="16"/>
    </row>
    <row r="375" spans="1:93" s="19" customFormat="1" x14ac:dyDescent="0.3">
      <c r="A375" s="27"/>
      <c r="B375" s="8"/>
      <c r="C375" s="42"/>
      <c r="D375" s="42"/>
      <c r="E375" s="54"/>
      <c r="F375" s="8"/>
      <c r="G375" s="8" t="s">
        <v>164</v>
      </c>
      <c r="H375" s="28">
        <f>H359+H373</f>
        <v>648043</v>
      </c>
      <c r="I375" s="28">
        <f>I359+I373</f>
        <v>-2529</v>
      </c>
      <c r="J375" s="28">
        <f>J359+J373</f>
        <v>645514</v>
      </c>
      <c r="K375" s="123">
        <f>IF(H375=0," ",(J375-H375)/H375)</f>
        <v>-3.9025188143379376E-3</v>
      </c>
      <c r="M375" s="28">
        <f>M359+M373</f>
        <v>645514</v>
      </c>
      <c r="N375" s="28">
        <f>N359+N373</f>
        <v>655679</v>
      </c>
      <c r="P375" s="139">
        <f>P359+P373</f>
        <v>0</v>
      </c>
      <c r="R375" s="28">
        <f>R359+R373</f>
        <v>655679</v>
      </c>
      <c r="S375" s="28">
        <f>S359+S373</f>
        <v>586492.75</v>
      </c>
      <c r="U375" s="28">
        <f>U359+U373</f>
        <v>655679</v>
      </c>
      <c r="V375" s="28">
        <f>V359+V373</f>
        <v>3234</v>
      </c>
      <c r="W375" s="28">
        <f>W359+W373</f>
        <v>658913</v>
      </c>
      <c r="X375" s="123">
        <f>IF(U375=0," ",(W375-U375)/U375)</f>
        <v>4.9322915634022139E-3</v>
      </c>
      <c r="Z375" s="28">
        <f>Z359+Z373</f>
        <v>658913</v>
      </c>
      <c r="AA375" s="28">
        <f>AA359+AA373</f>
        <v>733197</v>
      </c>
      <c r="AC375" s="139"/>
      <c r="AE375" s="28">
        <f>AE359+AE373</f>
        <v>733197</v>
      </c>
      <c r="AF375" s="201">
        <f>AF359+AF373</f>
        <v>630109.5</v>
      </c>
      <c r="AH375" s="28">
        <v>733197</v>
      </c>
      <c r="AI375" s="28">
        <f>AI359+AI373</f>
        <v>14662</v>
      </c>
      <c r="AJ375" s="28">
        <f>AJ359+AJ373</f>
        <v>747859</v>
      </c>
      <c r="AK375" s="123">
        <f>IF(AH375=0," ",(AJ375-AH375)/AH375)</f>
        <v>1.9997354053549046E-2</v>
      </c>
      <c r="AM375" s="28">
        <f>AM359+AM373</f>
        <v>791859</v>
      </c>
      <c r="AN375" s="28">
        <f>AN359+AN373</f>
        <v>791859</v>
      </c>
      <c r="AP375" s="139"/>
      <c r="AR375" s="28">
        <f>AR359+AR373</f>
        <v>791859</v>
      </c>
      <c r="AS375" s="28">
        <f>AS359+AS373</f>
        <v>748658.79</v>
      </c>
      <c r="AU375" s="28">
        <f>AU359+AU373</f>
        <v>791859</v>
      </c>
      <c r="AV375" s="28">
        <f>AV359+AV373</f>
        <v>3900</v>
      </c>
      <c r="AW375" s="28">
        <f>AW359+AW373</f>
        <v>795759</v>
      </c>
      <c r="AX375" s="123">
        <f>IF(AU375=0," ",(AW375-AU375)/AU375)</f>
        <v>4.9251192447140211E-3</v>
      </c>
      <c r="AZ375" s="28">
        <f>AZ359+AZ373</f>
        <v>797733</v>
      </c>
      <c r="BA375" s="28">
        <f>BA359+BA373</f>
        <v>859405</v>
      </c>
      <c r="BC375" s="139"/>
      <c r="BE375" s="28">
        <f>BE359+BE373</f>
        <v>859405</v>
      </c>
      <c r="BF375" s="28">
        <f>BF359+BF373</f>
        <v>880324.34000000008</v>
      </c>
      <c r="BG375" s="9"/>
      <c r="BH375" s="28">
        <f>BH359+BH373</f>
        <v>859405</v>
      </c>
      <c r="BI375" s="28">
        <f>BI359+BI373</f>
        <v>13529</v>
      </c>
      <c r="BJ375" s="28">
        <f>BJ359+BJ373</f>
        <v>872934</v>
      </c>
      <c r="BK375" s="123">
        <f>IF(BH375=0," ",(BJ375-BH375)/BH375)</f>
        <v>1.5742286814714831E-2</v>
      </c>
      <c r="BM375" s="28">
        <f>BM359+BM373</f>
        <v>872934</v>
      </c>
      <c r="BN375" s="28">
        <f>BN359+BN373</f>
        <v>901434</v>
      </c>
      <c r="BP375" s="139"/>
      <c r="BR375" s="28">
        <f>BR359+BR373</f>
        <v>901434</v>
      </c>
      <c r="BS375" s="28">
        <f>BS359+BS373</f>
        <v>403294.10000000003</v>
      </c>
      <c r="BT375" s="9"/>
      <c r="BU375" s="28">
        <f>BU359+BU373</f>
        <v>901434</v>
      </c>
      <c r="BV375" s="532">
        <f>BV359+BV373</f>
        <v>25513</v>
      </c>
      <c r="BW375" s="591">
        <f>BW359+BW373</f>
        <v>926947</v>
      </c>
      <c r="BX375" s="579">
        <f>IF(BU375=0," ",(BW375-BU375)/BU375)</f>
        <v>2.830268217085222E-2</v>
      </c>
      <c r="BY375" s="580"/>
      <c r="BZ375" s="591">
        <f>BZ359+BZ373</f>
        <v>926947</v>
      </c>
      <c r="CA375" s="591">
        <f>CA359+CA373</f>
        <v>1050294</v>
      </c>
      <c r="CB375" s="580"/>
      <c r="CC375" s="769"/>
      <c r="CD375" s="580"/>
      <c r="CE375" s="591">
        <f>CE359+CE373</f>
        <v>1050294</v>
      </c>
      <c r="CF375" s="591">
        <f>CF359+CF373</f>
        <v>0</v>
      </c>
      <c r="CG375" s="9"/>
      <c r="CH375" s="815"/>
      <c r="CI375" s="815"/>
      <c r="CJ375" s="886"/>
      <c r="CO375" s="16"/>
    </row>
    <row r="376" spans="1:93" s="9" customFormat="1" x14ac:dyDescent="0.3">
      <c r="A376" s="29"/>
      <c r="C376" s="43"/>
      <c r="D376" s="43"/>
      <c r="E376" s="46"/>
      <c r="H376" s="30"/>
      <c r="I376" s="30"/>
      <c r="J376" s="30"/>
      <c r="K376" s="126"/>
      <c r="M376" s="30"/>
      <c r="N376" s="30"/>
      <c r="P376" s="140"/>
      <c r="R376" s="30"/>
      <c r="S376" s="30"/>
      <c r="U376" s="30"/>
      <c r="V376" s="30"/>
      <c r="W376" s="30"/>
      <c r="X376" s="126"/>
      <c r="Z376" s="30"/>
      <c r="AA376" s="30"/>
      <c r="AC376" s="140"/>
      <c r="AE376" s="30"/>
      <c r="AF376" s="174"/>
      <c r="AH376" s="30"/>
      <c r="AI376" s="30"/>
      <c r="AJ376" s="30"/>
      <c r="AK376" s="126"/>
      <c r="AM376" s="30"/>
      <c r="AN376" s="30"/>
      <c r="AP376" s="140"/>
      <c r="AR376" s="30"/>
      <c r="AS376" s="30"/>
      <c r="AU376" s="30"/>
      <c r="AV376" s="30"/>
      <c r="AW376" s="30"/>
      <c r="AX376" s="126"/>
      <c r="AZ376" s="30"/>
      <c r="BA376" s="30"/>
      <c r="BC376" s="140"/>
      <c r="BE376" s="30"/>
      <c r="BF376" s="30"/>
      <c r="BH376" s="30"/>
      <c r="BI376" s="30"/>
      <c r="BJ376" s="30"/>
      <c r="BK376" s="126"/>
      <c r="BM376" s="30"/>
      <c r="BN376" s="30"/>
      <c r="BP376" s="140"/>
      <c r="BR376" s="30"/>
      <c r="BS376" s="30"/>
      <c r="BU376" s="30"/>
      <c r="BV376" s="26"/>
      <c r="BW376" s="305"/>
      <c r="BX376" s="593"/>
      <c r="BY376" s="603"/>
      <c r="BZ376" s="305"/>
      <c r="CA376" s="305"/>
      <c r="CB376" s="603"/>
      <c r="CC376" s="752"/>
      <c r="CD376" s="603"/>
      <c r="CE376" s="305"/>
      <c r="CF376" s="305"/>
      <c r="CH376" s="817"/>
      <c r="CI376" s="817"/>
      <c r="CJ376" s="886"/>
      <c r="CO376" s="16"/>
    </row>
    <row r="377" spans="1:93" x14ac:dyDescent="0.3">
      <c r="A377" s="11">
        <v>220</v>
      </c>
      <c r="B377" s="3" t="s">
        <v>2</v>
      </c>
      <c r="C377" s="37">
        <v>22005</v>
      </c>
      <c r="D377" s="37">
        <v>52100</v>
      </c>
      <c r="E377" s="49" t="s">
        <v>118</v>
      </c>
      <c r="F377" s="3" t="s">
        <v>2</v>
      </c>
      <c r="G377" s="3" t="s">
        <v>74</v>
      </c>
      <c r="H377" s="26">
        <v>6000</v>
      </c>
      <c r="I377" s="244"/>
      <c r="J377" s="16">
        <f t="shared" ref="J377:J411" si="194">H377+I377</f>
        <v>6000</v>
      </c>
      <c r="K377" s="122">
        <f t="shared" ref="K377:K411" si="195">IF(H377=0," ",(J377-H377)/H377)</f>
        <v>0</v>
      </c>
      <c r="M377" s="117">
        <v>6000</v>
      </c>
      <c r="N377" s="117">
        <v>6000</v>
      </c>
      <c r="P377" s="259"/>
      <c r="R377" s="26">
        <v>6000</v>
      </c>
      <c r="S377" s="26">
        <v>4952.12</v>
      </c>
      <c r="U377" s="26">
        <v>6000</v>
      </c>
      <c r="V377" s="244">
        <v>0</v>
      </c>
      <c r="W377" s="16">
        <f t="shared" ref="W377:W411" si="196">U377+V377</f>
        <v>6000</v>
      </c>
      <c r="X377" s="122">
        <f t="shared" ref="X377:X411" si="197">IF(U377=0," ",(W377-U377)/U377)</f>
        <v>0</v>
      </c>
      <c r="Z377" s="117">
        <v>6000</v>
      </c>
      <c r="AA377" s="117">
        <v>6000</v>
      </c>
      <c r="AC377" s="259"/>
      <c r="AE377" s="26">
        <v>6000</v>
      </c>
      <c r="AF377" s="200">
        <v>4753.13</v>
      </c>
      <c r="AH377" s="26">
        <v>6000</v>
      </c>
      <c r="AI377" s="244"/>
      <c r="AJ377" s="16">
        <f t="shared" ref="AJ377:AJ389" si="198">AH377+AI377</f>
        <v>6000</v>
      </c>
      <c r="AK377" s="122">
        <f t="shared" ref="AK377:AK389" si="199">IF(AH377=0," ",(AJ377-AH377)/AH377)</f>
        <v>0</v>
      </c>
      <c r="AM377" s="117">
        <v>6000</v>
      </c>
      <c r="AN377" s="117">
        <v>6000</v>
      </c>
      <c r="AP377" s="259"/>
      <c r="AR377" s="26">
        <v>6000</v>
      </c>
      <c r="AS377" s="26">
        <v>5149.1400000000003</v>
      </c>
      <c r="AU377" s="26">
        <f t="shared" ref="AU377:AU392" si="200">AR377</f>
        <v>6000</v>
      </c>
      <c r="AV377" s="244"/>
      <c r="AW377" s="16">
        <f t="shared" ref="AW377:AW413" si="201">AU377+AV377</f>
        <v>6000</v>
      </c>
      <c r="AX377" s="122">
        <f t="shared" ref="AX377:AX411" si="202">IF(AU377=0," ",(AW377-AU377)/AU377)</f>
        <v>0</v>
      </c>
      <c r="AZ377" s="117">
        <v>6000</v>
      </c>
      <c r="BA377" s="117">
        <v>6000</v>
      </c>
      <c r="BC377" s="266"/>
      <c r="BE377" s="26">
        <v>6000</v>
      </c>
      <c r="BF377" s="26">
        <v>6599.84</v>
      </c>
      <c r="BH377" s="26">
        <v>6000</v>
      </c>
      <c r="BI377" s="244"/>
      <c r="BJ377" s="16">
        <f t="shared" ref="BJ377:BJ413" si="203">BH377+BI377</f>
        <v>6000</v>
      </c>
      <c r="BK377" s="122">
        <f t="shared" ref="BK377:BK389" si="204">IF(BH377=0," ",(BJ377-BH377)/BH377)</f>
        <v>0</v>
      </c>
      <c r="BM377" s="117">
        <v>6000</v>
      </c>
      <c r="BN377" s="117">
        <v>6000</v>
      </c>
      <c r="BP377" s="259"/>
      <c r="BR377" s="117">
        <v>6000</v>
      </c>
      <c r="BS377" s="26">
        <v>2788.07</v>
      </c>
      <c r="BU377" s="26">
        <v>6000</v>
      </c>
      <c r="BV377" s="244">
        <v>1000</v>
      </c>
      <c r="BW377" s="576">
        <f t="shared" ref="BW377:BW413" si="205">BU377+BV377</f>
        <v>7000</v>
      </c>
      <c r="BX377" s="577">
        <f t="shared" ref="BX377:BX389" si="206">IF(BU377=0," ",(BW377-BU377)/BU377)</f>
        <v>0.16666666666666666</v>
      </c>
      <c r="BZ377" s="166">
        <v>7000</v>
      </c>
      <c r="CA377" s="166">
        <v>7000</v>
      </c>
      <c r="CC377" s="755" t="s">
        <v>1372</v>
      </c>
      <c r="CE377" s="166">
        <v>7000</v>
      </c>
      <c r="CF377" s="166"/>
      <c r="CJ377" s="886"/>
      <c r="CO377" s="16"/>
    </row>
    <row r="378" spans="1:93" x14ac:dyDescent="0.3">
      <c r="A378" s="11">
        <v>220</v>
      </c>
      <c r="B378" s="3" t="s">
        <v>2</v>
      </c>
      <c r="C378" s="37">
        <v>22005</v>
      </c>
      <c r="D378" s="37">
        <v>52150</v>
      </c>
      <c r="E378" s="49" t="s">
        <v>118</v>
      </c>
      <c r="F378" s="3" t="s">
        <v>2</v>
      </c>
      <c r="G378" s="3" t="s">
        <v>920</v>
      </c>
      <c r="H378" s="26">
        <v>7500</v>
      </c>
      <c r="I378" s="244"/>
      <c r="J378" s="16">
        <f t="shared" si="194"/>
        <v>7500</v>
      </c>
      <c r="K378" s="122">
        <f t="shared" si="195"/>
        <v>0</v>
      </c>
      <c r="M378" s="117">
        <v>7500</v>
      </c>
      <c r="N378" s="117">
        <v>7500</v>
      </c>
      <c r="P378" s="259"/>
      <c r="R378" s="26">
        <v>7500</v>
      </c>
      <c r="S378" s="26">
        <v>6755.32</v>
      </c>
      <c r="U378" s="26">
        <v>7500</v>
      </c>
      <c r="V378" s="244">
        <v>0</v>
      </c>
      <c r="W378" s="16">
        <f t="shared" si="196"/>
        <v>7500</v>
      </c>
      <c r="X378" s="122">
        <f t="shared" si="197"/>
        <v>0</v>
      </c>
      <c r="Z378" s="117">
        <v>7500</v>
      </c>
      <c r="AA378" s="117">
        <v>7500</v>
      </c>
      <c r="AC378" s="259"/>
      <c r="AE378" s="26">
        <v>7500</v>
      </c>
      <c r="AF378" s="200">
        <v>7223.76</v>
      </c>
      <c r="AH378" s="26">
        <v>7500</v>
      </c>
      <c r="AI378" s="244"/>
      <c r="AJ378" s="16">
        <f t="shared" si="198"/>
        <v>7500</v>
      </c>
      <c r="AK378" s="122">
        <f t="shared" si="199"/>
        <v>0</v>
      </c>
      <c r="AM378" s="117">
        <v>7500</v>
      </c>
      <c r="AN378" s="117">
        <v>7500</v>
      </c>
      <c r="AP378" s="259"/>
      <c r="AR378" s="26">
        <v>7500</v>
      </c>
      <c r="AS378" s="26">
        <v>5602.58</v>
      </c>
      <c r="AU378" s="26">
        <f t="shared" si="200"/>
        <v>7500</v>
      </c>
      <c r="AV378" s="244"/>
      <c r="AW378" s="16">
        <f t="shared" si="201"/>
        <v>7500</v>
      </c>
      <c r="AX378" s="122">
        <f t="shared" si="202"/>
        <v>0</v>
      </c>
      <c r="AZ378" s="117">
        <v>7500</v>
      </c>
      <c r="BA378" s="117">
        <v>7500</v>
      </c>
      <c r="BC378" s="266"/>
      <c r="BE378" s="26">
        <v>7500</v>
      </c>
      <c r="BF378" s="26">
        <v>5716.16</v>
      </c>
      <c r="BH378" s="26">
        <v>7500</v>
      </c>
      <c r="BI378" s="244"/>
      <c r="BJ378" s="16">
        <f t="shared" si="203"/>
        <v>7500</v>
      </c>
      <c r="BK378" s="122">
        <f t="shared" si="204"/>
        <v>0</v>
      </c>
      <c r="BM378" s="117">
        <v>7500</v>
      </c>
      <c r="BN378" s="117">
        <v>7500</v>
      </c>
      <c r="BP378" s="259"/>
      <c r="BR378" s="117">
        <v>7500</v>
      </c>
      <c r="BS378" s="26">
        <v>1095.6600000000001</v>
      </c>
      <c r="BU378" s="26">
        <v>7500</v>
      </c>
      <c r="BV378" s="244"/>
      <c r="BW378" s="576">
        <f t="shared" si="205"/>
        <v>7500</v>
      </c>
      <c r="BX378" s="577">
        <f t="shared" si="206"/>
        <v>0</v>
      </c>
      <c r="BZ378" s="166">
        <v>7500</v>
      </c>
      <c r="CA378" s="166">
        <v>7500</v>
      </c>
      <c r="CC378" s="753"/>
      <c r="CE378" s="166">
        <v>7500</v>
      </c>
      <c r="CF378" s="166"/>
      <c r="CJ378" s="886"/>
      <c r="CO378" s="16"/>
    </row>
    <row r="379" spans="1:93" x14ac:dyDescent="0.3">
      <c r="A379" s="11">
        <v>220</v>
      </c>
      <c r="B379" s="3" t="s">
        <v>2</v>
      </c>
      <c r="C379" s="37">
        <v>22005</v>
      </c>
      <c r="D379" s="37">
        <v>52300</v>
      </c>
      <c r="E379" s="49" t="s">
        <v>118</v>
      </c>
      <c r="F379" s="3" t="s">
        <v>2</v>
      </c>
      <c r="G379" s="3" t="s">
        <v>75</v>
      </c>
      <c r="H379" s="26">
        <v>450</v>
      </c>
      <c r="I379" s="244"/>
      <c r="J379" s="16">
        <f t="shared" si="194"/>
        <v>450</v>
      </c>
      <c r="K379" s="122">
        <f t="shared" si="195"/>
        <v>0</v>
      </c>
      <c r="M379" s="117">
        <v>450</v>
      </c>
      <c r="N379" s="117">
        <v>450</v>
      </c>
      <c r="P379" s="259"/>
      <c r="R379" s="26">
        <v>450</v>
      </c>
      <c r="S379" s="26">
        <v>534.29999999999995</v>
      </c>
      <c r="U379" s="26">
        <v>450</v>
      </c>
      <c r="V379" s="244">
        <v>0</v>
      </c>
      <c r="W379" s="16">
        <f t="shared" si="196"/>
        <v>450</v>
      </c>
      <c r="X379" s="122">
        <f t="shared" si="197"/>
        <v>0</v>
      </c>
      <c r="Z379" s="117">
        <v>450</v>
      </c>
      <c r="AA379" s="117">
        <v>450</v>
      </c>
      <c r="AC379" s="259"/>
      <c r="AE379" s="26">
        <v>450</v>
      </c>
      <c r="AF379" s="200">
        <v>656.5</v>
      </c>
      <c r="AH379" s="26">
        <v>450</v>
      </c>
      <c r="AI379" s="244"/>
      <c r="AJ379" s="16">
        <f t="shared" si="198"/>
        <v>450</v>
      </c>
      <c r="AK379" s="122">
        <f t="shared" si="199"/>
        <v>0</v>
      </c>
      <c r="AM379" s="117">
        <v>450</v>
      </c>
      <c r="AN379" s="117">
        <v>450</v>
      </c>
      <c r="AP379" s="259"/>
      <c r="AR379" s="26">
        <v>450</v>
      </c>
      <c r="AS379" s="26">
        <v>805.1</v>
      </c>
      <c r="AU379" s="26">
        <f t="shared" si="200"/>
        <v>450</v>
      </c>
      <c r="AV379" s="244"/>
      <c r="AW379" s="16">
        <f t="shared" si="201"/>
        <v>450</v>
      </c>
      <c r="AX379" s="122">
        <f t="shared" si="202"/>
        <v>0</v>
      </c>
      <c r="AZ379" s="117">
        <v>450</v>
      </c>
      <c r="BA379" s="117">
        <f>450+500</f>
        <v>950</v>
      </c>
      <c r="BC379" s="266" t="s">
        <v>1007</v>
      </c>
      <c r="BE379" s="26">
        <f>450+500</f>
        <v>950</v>
      </c>
      <c r="BF379" s="26">
        <v>770.09</v>
      </c>
      <c r="BH379" s="26">
        <f>450+500</f>
        <v>950</v>
      </c>
      <c r="BI379" s="244"/>
      <c r="BJ379" s="16">
        <f t="shared" si="203"/>
        <v>950</v>
      </c>
      <c r="BK379" s="122">
        <f t="shared" si="204"/>
        <v>0</v>
      </c>
      <c r="BM379" s="117">
        <v>950</v>
      </c>
      <c r="BN379" s="117">
        <v>950</v>
      </c>
      <c r="BP379" s="259"/>
      <c r="BR379" s="117">
        <v>950</v>
      </c>
      <c r="BS379" s="26">
        <v>165.68</v>
      </c>
      <c r="BU379" s="26">
        <v>950</v>
      </c>
      <c r="BV379" s="244"/>
      <c r="BW379" s="576">
        <f t="shared" si="205"/>
        <v>950</v>
      </c>
      <c r="BX379" s="577">
        <f t="shared" si="206"/>
        <v>0</v>
      </c>
      <c r="BZ379" s="166">
        <v>950</v>
      </c>
      <c r="CA379" s="166">
        <v>950</v>
      </c>
      <c r="CC379" s="753"/>
      <c r="CE379" s="166">
        <v>950</v>
      </c>
      <c r="CF379" s="166"/>
      <c r="CJ379" s="886"/>
      <c r="CO379" s="16"/>
    </row>
    <row r="380" spans="1:93" x14ac:dyDescent="0.3">
      <c r="A380" s="11">
        <v>220</v>
      </c>
      <c r="B380" s="3" t="s">
        <v>2</v>
      </c>
      <c r="C380" s="37">
        <v>22005</v>
      </c>
      <c r="D380" s="37">
        <v>52400</v>
      </c>
      <c r="E380" s="49" t="s">
        <v>118</v>
      </c>
      <c r="F380" s="3" t="s">
        <v>2</v>
      </c>
      <c r="G380" s="3" t="s">
        <v>97</v>
      </c>
      <c r="H380" s="26">
        <v>10000</v>
      </c>
      <c r="I380" s="244"/>
      <c r="J380" s="16">
        <f t="shared" si="194"/>
        <v>10000</v>
      </c>
      <c r="K380" s="122">
        <f t="shared" si="195"/>
        <v>0</v>
      </c>
      <c r="M380" s="117">
        <v>10000</v>
      </c>
      <c r="N380" s="117">
        <v>10000</v>
      </c>
      <c r="P380" s="266"/>
      <c r="R380" s="26">
        <v>10000</v>
      </c>
      <c r="S380" s="26">
        <v>3592.55</v>
      </c>
      <c r="U380" s="26">
        <v>10000</v>
      </c>
      <c r="V380" s="244">
        <v>0</v>
      </c>
      <c r="W380" s="16">
        <f t="shared" si="196"/>
        <v>10000</v>
      </c>
      <c r="X380" s="122">
        <f t="shared" si="197"/>
        <v>0</v>
      </c>
      <c r="Z380" s="117">
        <v>10000</v>
      </c>
      <c r="AA380" s="117">
        <v>10000</v>
      </c>
      <c r="AC380" s="259"/>
      <c r="AE380" s="26">
        <v>10000</v>
      </c>
      <c r="AF380" s="200">
        <v>5455.29</v>
      </c>
      <c r="AH380" s="26">
        <v>10000</v>
      </c>
      <c r="AI380" s="244"/>
      <c r="AJ380" s="16">
        <f t="shared" si="198"/>
        <v>10000</v>
      </c>
      <c r="AK380" s="122">
        <f t="shared" si="199"/>
        <v>0</v>
      </c>
      <c r="AM380" s="117">
        <f>10000+5650</f>
        <v>15650</v>
      </c>
      <c r="AN380" s="117">
        <f>10000+5650</f>
        <v>15650</v>
      </c>
      <c r="AP380" s="266" t="s">
        <v>866</v>
      </c>
      <c r="AR380" s="26">
        <f>10000+5650</f>
        <v>15650</v>
      </c>
      <c r="AS380" s="26">
        <v>7415.3</v>
      </c>
      <c r="AU380" s="26">
        <f t="shared" si="200"/>
        <v>15650</v>
      </c>
      <c r="AV380" s="244"/>
      <c r="AW380" s="16">
        <f t="shared" si="201"/>
        <v>15650</v>
      </c>
      <c r="AX380" s="122">
        <f t="shared" si="202"/>
        <v>0</v>
      </c>
      <c r="AZ380" s="117">
        <v>15650</v>
      </c>
      <c r="BA380" s="117">
        <v>15650</v>
      </c>
      <c r="BC380" s="266"/>
      <c r="BE380" s="26">
        <v>15650</v>
      </c>
      <c r="BF380" s="26">
        <v>14104.58</v>
      </c>
      <c r="BH380" s="26">
        <v>15650</v>
      </c>
      <c r="BI380" s="244"/>
      <c r="BJ380" s="16">
        <f t="shared" si="203"/>
        <v>15650</v>
      </c>
      <c r="BK380" s="122">
        <f t="shared" si="204"/>
        <v>0</v>
      </c>
      <c r="BM380" s="117">
        <v>15650</v>
      </c>
      <c r="BN380" s="117">
        <v>15650</v>
      </c>
      <c r="BP380" s="259"/>
      <c r="BR380" s="117">
        <v>15650</v>
      </c>
      <c r="BS380" s="26">
        <v>601</v>
      </c>
      <c r="BU380" s="26">
        <v>15650</v>
      </c>
      <c r="BV380" s="244"/>
      <c r="BW380" s="576">
        <f t="shared" si="205"/>
        <v>15650</v>
      </c>
      <c r="BX380" s="577">
        <f t="shared" si="206"/>
        <v>0</v>
      </c>
      <c r="BZ380" s="166">
        <v>15650</v>
      </c>
      <c r="CA380" s="166">
        <v>15650</v>
      </c>
      <c r="CC380" s="753"/>
      <c r="CE380" s="166">
        <v>15650</v>
      </c>
      <c r="CF380" s="166"/>
      <c r="CJ380" s="886"/>
      <c r="CO380" s="16"/>
    </row>
    <row r="381" spans="1:93" x14ac:dyDescent="0.3">
      <c r="A381" s="11">
        <v>220</v>
      </c>
      <c r="B381" s="3" t="s">
        <v>2</v>
      </c>
      <c r="C381" s="37">
        <v>22005</v>
      </c>
      <c r="D381" s="37">
        <v>52420</v>
      </c>
      <c r="E381" s="49" t="s">
        <v>118</v>
      </c>
      <c r="F381" s="3" t="s">
        <v>2</v>
      </c>
      <c r="G381" s="3" t="s">
        <v>87</v>
      </c>
      <c r="H381" s="26">
        <v>2300</v>
      </c>
      <c r="I381" s="244">
        <v>500</v>
      </c>
      <c r="J381" s="16">
        <f t="shared" si="194"/>
        <v>2800</v>
      </c>
      <c r="K381" s="122">
        <f t="shared" si="195"/>
        <v>0.21739130434782608</v>
      </c>
      <c r="M381" s="117">
        <v>2800</v>
      </c>
      <c r="N381" s="117">
        <v>2800</v>
      </c>
      <c r="P381" s="259" t="s">
        <v>603</v>
      </c>
      <c r="R381" s="26">
        <v>2800</v>
      </c>
      <c r="S381" s="26">
        <v>630.1</v>
      </c>
      <c r="U381" s="26">
        <v>2800</v>
      </c>
      <c r="V381" s="244">
        <v>0</v>
      </c>
      <c r="W381" s="16">
        <f t="shared" si="196"/>
        <v>2800</v>
      </c>
      <c r="X381" s="122">
        <f t="shared" si="197"/>
        <v>0</v>
      </c>
      <c r="Z381" s="117">
        <v>2800</v>
      </c>
      <c r="AA381" s="117">
        <v>2800</v>
      </c>
      <c r="AC381" s="259"/>
      <c r="AE381" s="26">
        <v>2800</v>
      </c>
      <c r="AF381" s="200">
        <v>701.7</v>
      </c>
      <c r="AH381" s="26">
        <v>2800</v>
      </c>
      <c r="AI381" s="244"/>
      <c r="AJ381" s="16">
        <f t="shared" si="198"/>
        <v>2800</v>
      </c>
      <c r="AK381" s="122">
        <f t="shared" si="199"/>
        <v>0</v>
      </c>
      <c r="AM381" s="117">
        <v>2800</v>
      </c>
      <c r="AN381" s="117">
        <v>2800</v>
      </c>
      <c r="AP381" s="259"/>
      <c r="AR381" s="26">
        <v>2800</v>
      </c>
      <c r="AS381" s="26">
        <v>254.8</v>
      </c>
      <c r="AU381" s="26">
        <f t="shared" si="200"/>
        <v>2800</v>
      </c>
      <c r="AV381" s="244"/>
      <c r="AW381" s="16">
        <f t="shared" si="201"/>
        <v>2800</v>
      </c>
      <c r="AX381" s="122">
        <f t="shared" si="202"/>
        <v>0</v>
      </c>
      <c r="AZ381" s="117">
        <v>2800</v>
      </c>
      <c r="BA381" s="117">
        <v>2800</v>
      </c>
      <c r="BC381" s="259"/>
      <c r="BE381" s="26">
        <v>2800</v>
      </c>
      <c r="BF381" s="26">
        <v>405.82</v>
      </c>
      <c r="BH381" s="26">
        <v>2800</v>
      </c>
      <c r="BI381" s="244"/>
      <c r="BJ381" s="16">
        <f t="shared" si="203"/>
        <v>2800</v>
      </c>
      <c r="BK381" s="122">
        <f t="shared" si="204"/>
        <v>0</v>
      </c>
      <c r="BM381" s="117">
        <v>2800</v>
      </c>
      <c r="BN381" s="117">
        <v>2800</v>
      </c>
      <c r="BP381" s="259"/>
      <c r="BR381" s="117">
        <v>2800</v>
      </c>
      <c r="BS381" s="26">
        <v>496.3</v>
      </c>
      <c r="BU381" s="26">
        <v>2800</v>
      </c>
      <c r="BV381" s="244"/>
      <c r="BW381" s="576">
        <f t="shared" si="205"/>
        <v>2800</v>
      </c>
      <c r="BX381" s="577">
        <f t="shared" si="206"/>
        <v>0</v>
      </c>
      <c r="BZ381" s="166">
        <v>2800</v>
      </c>
      <c r="CA381" s="166">
        <v>2800</v>
      </c>
      <c r="CC381" s="753"/>
      <c r="CE381" s="166">
        <v>2800</v>
      </c>
      <c r="CF381" s="166"/>
      <c r="CJ381" s="886"/>
      <c r="CO381" s="16"/>
    </row>
    <row r="382" spans="1:93" x14ac:dyDescent="0.3">
      <c r="A382" s="11">
        <v>220</v>
      </c>
      <c r="B382" s="3" t="s">
        <v>2</v>
      </c>
      <c r="C382" s="37">
        <v>22005</v>
      </c>
      <c r="D382" s="37">
        <v>52430</v>
      </c>
      <c r="E382" s="49" t="s">
        <v>118</v>
      </c>
      <c r="F382" s="3" t="s">
        <v>2</v>
      </c>
      <c r="G382" s="3" t="s">
        <v>88</v>
      </c>
      <c r="H382" s="26">
        <v>500</v>
      </c>
      <c r="I382" s="244">
        <v>500</v>
      </c>
      <c r="J382" s="16">
        <f t="shared" si="194"/>
        <v>1000</v>
      </c>
      <c r="K382" s="122">
        <f t="shared" si="195"/>
        <v>1</v>
      </c>
      <c r="M382" s="117">
        <v>1000</v>
      </c>
      <c r="N382" s="117">
        <v>1000</v>
      </c>
      <c r="P382" s="259" t="s">
        <v>604</v>
      </c>
      <c r="R382" s="26">
        <v>1000</v>
      </c>
      <c r="S382" s="26">
        <v>990</v>
      </c>
      <c r="U382" s="26">
        <v>1000</v>
      </c>
      <c r="V382" s="244">
        <v>0</v>
      </c>
      <c r="W382" s="16">
        <f t="shared" si="196"/>
        <v>1000</v>
      </c>
      <c r="X382" s="122">
        <f t="shared" si="197"/>
        <v>0</v>
      </c>
      <c r="Z382" s="117">
        <v>1000</v>
      </c>
      <c r="AA382" s="117">
        <v>1000</v>
      </c>
      <c r="AC382" s="259"/>
      <c r="AE382" s="26">
        <v>1000</v>
      </c>
      <c r="AF382" s="200">
        <v>540</v>
      </c>
      <c r="AH382" s="26">
        <v>1000</v>
      </c>
      <c r="AI382" s="244"/>
      <c r="AJ382" s="16">
        <f t="shared" si="198"/>
        <v>1000</v>
      </c>
      <c r="AK382" s="122">
        <f t="shared" si="199"/>
        <v>0</v>
      </c>
      <c r="AM382" s="117">
        <v>1000</v>
      </c>
      <c r="AN382" s="117">
        <v>1000</v>
      </c>
      <c r="AP382" s="259"/>
      <c r="AR382" s="26">
        <v>1000</v>
      </c>
      <c r="AS382" s="26">
        <v>885</v>
      </c>
      <c r="AU382" s="26">
        <f t="shared" si="200"/>
        <v>1000</v>
      </c>
      <c r="AV382" s="244"/>
      <c r="AW382" s="16">
        <f t="shared" si="201"/>
        <v>1000</v>
      </c>
      <c r="AX382" s="122">
        <f t="shared" si="202"/>
        <v>0</v>
      </c>
      <c r="AZ382" s="117">
        <v>1000</v>
      </c>
      <c r="BA382" s="117">
        <v>1000</v>
      </c>
      <c r="BC382" s="259"/>
      <c r="BE382" s="26">
        <v>1000</v>
      </c>
      <c r="BF382" s="26">
        <v>740</v>
      </c>
      <c r="BH382" s="26">
        <v>1000</v>
      </c>
      <c r="BI382" s="244"/>
      <c r="BJ382" s="16">
        <f t="shared" si="203"/>
        <v>1000</v>
      </c>
      <c r="BK382" s="122">
        <f t="shared" si="204"/>
        <v>0</v>
      </c>
      <c r="BM382" s="117">
        <v>1000</v>
      </c>
      <c r="BN382" s="117">
        <v>1000</v>
      </c>
      <c r="BP382" s="259"/>
      <c r="BR382" s="117">
        <v>1000</v>
      </c>
      <c r="BS382" s="26">
        <v>270</v>
      </c>
      <c r="BU382" s="26">
        <v>1000</v>
      </c>
      <c r="BV382" s="244"/>
      <c r="BW382" s="576">
        <f t="shared" si="205"/>
        <v>1000</v>
      </c>
      <c r="BX382" s="577">
        <f t="shared" si="206"/>
        <v>0</v>
      </c>
      <c r="BZ382" s="166">
        <v>1000</v>
      </c>
      <c r="CA382" s="166">
        <v>1000</v>
      </c>
      <c r="CC382" s="753"/>
      <c r="CE382" s="166">
        <v>1000</v>
      </c>
      <c r="CF382" s="166"/>
      <c r="CJ382" s="886"/>
      <c r="CO382" s="16"/>
    </row>
    <row r="383" spans="1:93" x14ac:dyDescent="0.3">
      <c r="A383" s="11">
        <v>220</v>
      </c>
      <c r="B383" s="3" t="s">
        <v>2</v>
      </c>
      <c r="C383" s="37">
        <v>22005</v>
      </c>
      <c r="D383" s="37">
        <v>52450</v>
      </c>
      <c r="E383" s="49" t="s">
        <v>118</v>
      </c>
      <c r="F383" s="3" t="s">
        <v>2</v>
      </c>
      <c r="G383" s="3" t="s">
        <v>98</v>
      </c>
      <c r="H383" s="26">
        <v>28000</v>
      </c>
      <c r="I383" s="244">
        <v>683</v>
      </c>
      <c r="J383" s="16">
        <f t="shared" si="194"/>
        <v>28683</v>
      </c>
      <c r="K383" s="122">
        <f t="shared" si="195"/>
        <v>2.4392857142857143E-2</v>
      </c>
      <c r="M383" s="117">
        <v>28683</v>
      </c>
      <c r="N383" s="117">
        <v>28683</v>
      </c>
      <c r="P383" s="259" t="s">
        <v>602</v>
      </c>
      <c r="R383" s="26">
        <v>28683</v>
      </c>
      <c r="S383" s="26">
        <v>24105.360000000001</v>
      </c>
      <c r="U383" s="26">
        <v>28683</v>
      </c>
      <c r="V383" s="244">
        <v>0</v>
      </c>
      <c r="W383" s="16">
        <f t="shared" si="196"/>
        <v>28683</v>
      </c>
      <c r="X383" s="122">
        <f t="shared" si="197"/>
        <v>0</v>
      </c>
      <c r="Z383" s="117">
        <v>28683</v>
      </c>
      <c r="AA383" s="117">
        <v>28683</v>
      </c>
      <c r="AC383" s="259"/>
      <c r="AE383" s="26">
        <v>28683</v>
      </c>
      <c r="AF383" s="200">
        <v>35478.400000000001</v>
      </c>
      <c r="AH383" s="26">
        <v>28683</v>
      </c>
      <c r="AI383" s="244"/>
      <c r="AJ383" s="16">
        <f t="shared" si="198"/>
        <v>28683</v>
      </c>
      <c r="AK383" s="122">
        <f t="shared" si="199"/>
        <v>0</v>
      </c>
      <c r="AM383" s="117">
        <v>28683</v>
      </c>
      <c r="AN383" s="117">
        <v>28683</v>
      </c>
      <c r="AP383" s="259"/>
      <c r="AR383" s="26">
        <v>28683</v>
      </c>
      <c r="AS383" s="26">
        <v>42611.29</v>
      </c>
      <c r="AU383" s="26">
        <f t="shared" si="200"/>
        <v>28683</v>
      </c>
      <c r="AV383" s="244"/>
      <c r="AW383" s="16">
        <f t="shared" si="201"/>
        <v>28683</v>
      </c>
      <c r="AX383" s="122">
        <f t="shared" si="202"/>
        <v>0</v>
      </c>
      <c r="AZ383" s="117">
        <v>28683</v>
      </c>
      <c r="BA383" s="117">
        <v>28683</v>
      </c>
      <c r="BC383" s="259"/>
      <c r="BE383" s="26">
        <v>28683</v>
      </c>
      <c r="BF383" s="26">
        <v>21912.73</v>
      </c>
      <c r="BH383" s="26">
        <v>28683</v>
      </c>
      <c r="BI383" s="403">
        <v>-2500</v>
      </c>
      <c r="BJ383" s="16">
        <f t="shared" si="203"/>
        <v>26183</v>
      </c>
      <c r="BK383" s="122">
        <f t="shared" si="204"/>
        <v>-8.7159641599553736E-2</v>
      </c>
      <c r="BM383" s="117">
        <v>26183</v>
      </c>
      <c r="BN383" s="117">
        <v>26183</v>
      </c>
      <c r="BP383" s="399" t="s">
        <v>1120</v>
      </c>
      <c r="BR383" s="117">
        <v>26183</v>
      </c>
      <c r="BS383" s="26">
        <v>2715.7</v>
      </c>
      <c r="BU383" s="26">
        <v>26183</v>
      </c>
      <c r="BV383" s="244">
        <v>-1000</v>
      </c>
      <c r="BW383" s="576">
        <f t="shared" si="205"/>
        <v>25183</v>
      </c>
      <c r="BX383" s="577">
        <f t="shared" si="206"/>
        <v>-3.8192720467478895E-2</v>
      </c>
      <c r="BZ383" s="166">
        <v>25183</v>
      </c>
      <c r="CA383" s="166">
        <v>25183</v>
      </c>
      <c r="CC383" s="755" t="s">
        <v>1372</v>
      </c>
      <c r="CE383" s="166">
        <v>25183</v>
      </c>
      <c r="CF383" s="166"/>
      <c r="CJ383" s="886"/>
      <c r="CO383" s="16"/>
    </row>
    <row r="384" spans="1:93" x14ac:dyDescent="0.3">
      <c r="A384" s="11">
        <v>220</v>
      </c>
      <c r="B384" s="3" t="s">
        <v>2</v>
      </c>
      <c r="C384" s="37">
        <v>22005</v>
      </c>
      <c r="D384" s="37">
        <v>52720</v>
      </c>
      <c r="E384" s="49" t="s">
        <v>118</v>
      </c>
      <c r="F384" s="3" t="s">
        <v>2</v>
      </c>
      <c r="G384" s="3" t="s">
        <v>89</v>
      </c>
      <c r="H384" s="26">
        <v>1975</v>
      </c>
      <c r="I384" s="244"/>
      <c r="J384" s="16">
        <f t="shared" si="194"/>
        <v>1975</v>
      </c>
      <c r="K384" s="122">
        <f t="shared" si="195"/>
        <v>0</v>
      </c>
      <c r="M384" s="117">
        <v>1975</v>
      </c>
      <c r="N384" s="117">
        <v>1975</v>
      </c>
      <c r="P384" s="259"/>
      <c r="R384" s="26">
        <v>1975</v>
      </c>
      <c r="S384" s="26">
        <v>0</v>
      </c>
      <c r="U384" s="26">
        <v>1975</v>
      </c>
      <c r="V384" s="244">
        <v>0</v>
      </c>
      <c r="W384" s="16">
        <f t="shared" si="196"/>
        <v>1975</v>
      </c>
      <c r="X384" s="122">
        <f t="shared" si="197"/>
        <v>0</v>
      </c>
      <c r="Z384" s="117">
        <v>1975</v>
      </c>
      <c r="AA384" s="117">
        <v>1975</v>
      </c>
      <c r="AC384" s="259"/>
      <c r="AE384" s="26">
        <v>1975</v>
      </c>
      <c r="AF384" s="200">
        <v>0</v>
      </c>
      <c r="AH384" s="26">
        <v>1975</v>
      </c>
      <c r="AI384" s="244"/>
      <c r="AJ384" s="16">
        <f t="shared" si="198"/>
        <v>1975</v>
      </c>
      <c r="AK384" s="122">
        <f t="shared" si="199"/>
        <v>0</v>
      </c>
      <c r="AM384" s="117">
        <v>1975</v>
      </c>
      <c r="AN384" s="117">
        <v>1975</v>
      </c>
      <c r="AP384" s="259"/>
      <c r="AR384" s="26">
        <v>1975</v>
      </c>
      <c r="AS384" s="26">
        <v>30</v>
      </c>
      <c r="AU384" s="26">
        <f t="shared" si="200"/>
        <v>1975</v>
      </c>
      <c r="AV384" s="244"/>
      <c r="AW384" s="16">
        <f t="shared" si="201"/>
        <v>1975</v>
      </c>
      <c r="AX384" s="122">
        <f t="shared" si="202"/>
        <v>0</v>
      </c>
      <c r="AZ384" s="117">
        <v>1975</v>
      </c>
      <c r="BA384" s="117">
        <v>1975</v>
      </c>
      <c r="BC384" s="259"/>
      <c r="BE384" s="26">
        <v>1975</v>
      </c>
      <c r="BF384" s="26">
        <v>150</v>
      </c>
      <c r="BH384" s="26">
        <v>1975</v>
      </c>
      <c r="BI384" s="244"/>
      <c r="BJ384" s="16">
        <f t="shared" si="203"/>
        <v>1975</v>
      </c>
      <c r="BK384" s="122">
        <f t="shared" si="204"/>
        <v>0</v>
      </c>
      <c r="BM384" s="117">
        <v>1975</v>
      </c>
      <c r="BN384" s="117">
        <v>1975</v>
      </c>
      <c r="BP384" s="259"/>
      <c r="BR384" s="117">
        <v>1975</v>
      </c>
      <c r="BS384" s="26"/>
      <c r="BU384" s="26">
        <v>1975</v>
      </c>
      <c r="BV384" s="244"/>
      <c r="BW384" s="576">
        <f t="shared" si="205"/>
        <v>1975</v>
      </c>
      <c r="BX384" s="577">
        <f t="shared" si="206"/>
        <v>0</v>
      </c>
      <c r="BZ384" s="166">
        <v>1975</v>
      </c>
      <c r="CA384" s="166">
        <v>1975</v>
      </c>
      <c r="CC384" s="753"/>
      <c r="CE384" s="166">
        <v>1975</v>
      </c>
      <c r="CF384" s="166"/>
      <c r="CJ384" s="886"/>
      <c r="CO384" s="16"/>
    </row>
    <row r="385" spans="1:93" x14ac:dyDescent="0.3">
      <c r="A385" s="11">
        <v>220</v>
      </c>
      <c r="B385" s="3" t="s">
        <v>2</v>
      </c>
      <c r="C385" s="37">
        <v>22005</v>
      </c>
      <c r="D385" s="37">
        <v>53000</v>
      </c>
      <c r="E385" s="49" t="s">
        <v>118</v>
      </c>
      <c r="F385" s="3" t="s">
        <v>2</v>
      </c>
      <c r="G385" s="3" t="s">
        <v>978</v>
      </c>
      <c r="H385" s="26">
        <v>3000</v>
      </c>
      <c r="I385" s="244"/>
      <c r="J385" s="16">
        <f t="shared" si="194"/>
        <v>3000</v>
      </c>
      <c r="K385" s="122">
        <f t="shared" si="195"/>
        <v>0</v>
      </c>
      <c r="M385" s="117">
        <v>3000</v>
      </c>
      <c r="N385" s="117">
        <v>3000</v>
      </c>
      <c r="P385" s="259"/>
      <c r="R385" s="26">
        <v>3000</v>
      </c>
      <c r="S385" s="26">
        <v>4550</v>
      </c>
      <c r="U385" s="26">
        <v>3000</v>
      </c>
      <c r="V385" s="244">
        <v>0</v>
      </c>
      <c r="W385" s="16">
        <f t="shared" si="196"/>
        <v>3000</v>
      </c>
      <c r="X385" s="122">
        <f t="shared" si="197"/>
        <v>0</v>
      </c>
      <c r="Z385" s="117">
        <v>3000</v>
      </c>
      <c r="AA385" s="117">
        <v>3000</v>
      </c>
      <c r="AC385" s="259"/>
      <c r="AE385" s="26">
        <v>3000</v>
      </c>
      <c r="AF385" s="200">
        <v>7737</v>
      </c>
      <c r="AH385" s="26">
        <v>3000</v>
      </c>
      <c r="AI385" s="244"/>
      <c r="AJ385" s="16">
        <f t="shared" si="198"/>
        <v>3000</v>
      </c>
      <c r="AK385" s="122">
        <f t="shared" si="199"/>
        <v>0</v>
      </c>
      <c r="AM385" s="117">
        <f>3000+8050</f>
        <v>11050</v>
      </c>
      <c r="AN385" s="117">
        <f>3000+8050</f>
        <v>11050</v>
      </c>
      <c r="AP385" s="266" t="s">
        <v>835</v>
      </c>
      <c r="AR385" s="26">
        <f>3000+8050</f>
        <v>11050</v>
      </c>
      <c r="AS385" s="26">
        <v>1490</v>
      </c>
      <c r="AU385" s="26">
        <f t="shared" si="200"/>
        <v>11050</v>
      </c>
      <c r="AV385" s="244"/>
      <c r="AW385" s="16">
        <f t="shared" si="201"/>
        <v>11050</v>
      </c>
      <c r="AX385" s="122">
        <f t="shared" si="202"/>
        <v>0</v>
      </c>
      <c r="AZ385" s="117">
        <v>11050</v>
      </c>
      <c r="BA385" s="117">
        <v>11050</v>
      </c>
      <c r="BC385" s="266"/>
      <c r="BE385" s="26">
        <v>11050</v>
      </c>
      <c r="BF385" s="26">
        <v>3717</v>
      </c>
      <c r="BH385" s="26">
        <v>11050</v>
      </c>
      <c r="BI385" s="244"/>
      <c r="BJ385" s="16">
        <f t="shared" si="203"/>
        <v>11050</v>
      </c>
      <c r="BK385" s="122">
        <f t="shared" si="204"/>
        <v>0</v>
      </c>
      <c r="BM385" s="117">
        <v>11050</v>
      </c>
      <c r="BN385" s="117">
        <v>11050</v>
      </c>
      <c r="BP385" s="259"/>
      <c r="BR385" s="117">
        <v>11050</v>
      </c>
      <c r="BS385" s="26">
        <v>470</v>
      </c>
      <c r="BU385" s="26">
        <v>11050</v>
      </c>
      <c r="BV385" s="244"/>
      <c r="BW385" s="576">
        <f t="shared" si="205"/>
        <v>11050</v>
      </c>
      <c r="BX385" s="577">
        <f t="shared" si="206"/>
        <v>0</v>
      </c>
      <c r="BZ385" s="166">
        <v>11050</v>
      </c>
      <c r="CA385" s="166">
        <v>11050</v>
      </c>
      <c r="CC385" s="753"/>
      <c r="CE385" s="166">
        <v>11050</v>
      </c>
      <c r="CF385" s="166"/>
      <c r="CJ385" s="886"/>
      <c r="CO385" s="16"/>
    </row>
    <row r="386" spans="1:93" x14ac:dyDescent="0.3">
      <c r="A386" s="11">
        <v>220</v>
      </c>
      <c r="B386" s="3" t="s">
        <v>2</v>
      </c>
      <c r="C386" s="37">
        <v>22005</v>
      </c>
      <c r="D386" s="37">
        <v>53200</v>
      </c>
      <c r="E386" s="49" t="s">
        <v>118</v>
      </c>
      <c r="F386" s="3" t="s">
        <v>2</v>
      </c>
      <c r="G386" s="3" t="s">
        <v>110</v>
      </c>
      <c r="H386" s="26">
        <v>6000</v>
      </c>
      <c r="I386" s="244"/>
      <c r="J386" s="16">
        <f t="shared" si="194"/>
        <v>6000</v>
      </c>
      <c r="K386" s="122">
        <f t="shared" si="195"/>
        <v>0</v>
      </c>
      <c r="M386" s="117">
        <v>6000</v>
      </c>
      <c r="N386" s="117">
        <v>6000</v>
      </c>
      <c r="P386" s="259"/>
      <c r="R386" s="26">
        <v>6000</v>
      </c>
      <c r="S386" s="26">
        <v>6214</v>
      </c>
      <c r="U386" s="26">
        <v>6000</v>
      </c>
      <c r="V386" s="244">
        <v>0</v>
      </c>
      <c r="W386" s="16">
        <f t="shared" si="196"/>
        <v>6000</v>
      </c>
      <c r="X386" s="122">
        <f t="shared" si="197"/>
        <v>0</v>
      </c>
      <c r="Z386" s="117">
        <v>6000</v>
      </c>
      <c r="AA386" s="117">
        <v>6000</v>
      </c>
      <c r="AC386" s="259"/>
      <c r="AE386" s="26">
        <v>6000</v>
      </c>
      <c r="AF386" s="200">
        <v>7655.75</v>
      </c>
      <c r="AH386" s="26">
        <v>6000</v>
      </c>
      <c r="AI386" s="244"/>
      <c r="AJ386" s="16">
        <f t="shared" si="198"/>
        <v>6000</v>
      </c>
      <c r="AK386" s="122">
        <f t="shared" si="199"/>
        <v>0</v>
      </c>
      <c r="AM386" s="117">
        <v>6000</v>
      </c>
      <c r="AN386" s="117">
        <v>6000</v>
      </c>
      <c r="AP386" s="259"/>
      <c r="AR386" s="26">
        <v>6000</v>
      </c>
      <c r="AS386" s="26">
        <v>4112.71</v>
      </c>
      <c r="AU386" s="26">
        <f t="shared" si="200"/>
        <v>6000</v>
      </c>
      <c r="AV386" s="244"/>
      <c r="AW386" s="16">
        <f t="shared" si="201"/>
        <v>6000</v>
      </c>
      <c r="AX386" s="122">
        <f t="shared" si="202"/>
        <v>0</v>
      </c>
      <c r="AZ386" s="117">
        <v>6000</v>
      </c>
      <c r="BA386" s="117">
        <v>6000</v>
      </c>
      <c r="BC386" s="259"/>
      <c r="BE386" s="26">
        <v>6000</v>
      </c>
      <c r="BF386" s="26">
        <v>4759.1000000000004</v>
      </c>
      <c r="BH386" s="26">
        <v>6000</v>
      </c>
      <c r="BI386" s="244"/>
      <c r="BJ386" s="16">
        <f t="shared" si="203"/>
        <v>6000</v>
      </c>
      <c r="BK386" s="122">
        <f t="shared" si="204"/>
        <v>0</v>
      </c>
      <c r="BM386" s="117">
        <v>6000</v>
      </c>
      <c r="BN386" s="117">
        <v>6000</v>
      </c>
      <c r="BP386" s="259"/>
      <c r="BR386" s="117">
        <v>6000</v>
      </c>
      <c r="BS386" s="26">
        <v>1595</v>
      </c>
      <c r="BU386" s="26">
        <v>6000</v>
      </c>
      <c r="BV386" s="244"/>
      <c r="BW386" s="576">
        <f t="shared" si="205"/>
        <v>6000</v>
      </c>
      <c r="BX386" s="577">
        <f t="shared" si="206"/>
        <v>0</v>
      </c>
      <c r="BZ386" s="166">
        <v>6000</v>
      </c>
      <c r="CA386" s="166">
        <v>6000</v>
      </c>
      <c r="CC386" s="753"/>
      <c r="CE386" s="166">
        <v>6000</v>
      </c>
      <c r="CF386" s="166"/>
      <c r="CJ386" s="886"/>
      <c r="CO386" s="16"/>
    </row>
    <row r="387" spans="1:93" x14ac:dyDescent="0.3">
      <c r="A387" s="11">
        <v>220</v>
      </c>
      <c r="B387" s="3" t="s">
        <v>2</v>
      </c>
      <c r="C387" s="37">
        <v>22005</v>
      </c>
      <c r="D387" s="37">
        <v>53400</v>
      </c>
      <c r="E387" s="49" t="s">
        <v>118</v>
      </c>
      <c r="F387" s="3" t="s">
        <v>2</v>
      </c>
      <c r="G387" s="3" t="s">
        <v>76</v>
      </c>
      <c r="H387" s="26">
        <v>4700</v>
      </c>
      <c r="I387" s="244"/>
      <c r="J387" s="16">
        <f t="shared" si="194"/>
        <v>4700</v>
      </c>
      <c r="K387" s="122">
        <f t="shared" si="195"/>
        <v>0</v>
      </c>
      <c r="M387" s="117">
        <v>4700</v>
      </c>
      <c r="N387" s="117">
        <v>4700</v>
      </c>
      <c r="P387" s="259"/>
      <c r="R387" s="26">
        <v>4700</v>
      </c>
      <c r="S387" s="26">
        <v>3103.84</v>
      </c>
      <c r="U387" s="26">
        <v>4700</v>
      </c>
      <c r="V387" s="244">
        <v>0</v>
      </c>
      <c r="W387" s="16">
        <f t="shared" si="196"/>
        <v>4700</v>
      </c>
      <c r="X387" s="122">
        <f t="shared" si="197"/>
        <v>0</v>
      </c>
      <c r="Z387" s="117">
        <v>4700</v>
      </c>
      <c r="AA387" s="117">
        <v>4700</v>
      </c>
      <c r="AC387" s="259"/>
      <c r="AE387" s="26">
        <v>4700</v>
      </c>
      <c r="AF387" s="200">
        <v>1794.45</v>
      </c>
      <c r="AH387" s="26">
        <v>4700</v>
      </c>
      <c r="AI387" s="244"/>
      <c r="AJ387" s="16">
        <f t="shared" si="198"/>
        <v>4700</v>
      </c>
      <c r="AK387" s="122">
        <f t="shared" si="199"/>
        <v>0</v>
      </c>
      <c r="AM387" s="117">
        <v>4700</v>
      </c>
      <c r="AN387" s="117">
        <v>4700</v>
      </c>
      <c r="AP387" s="259"/>
      <c r="AR387" s="26">
        <v>4700</v>
      </c>
      <c r="AS387" s="26">
        <v>1336.96</v>
      </c>
      <c r="AU387" s="26">
        <f t="shared" si="200"/>
        <v>4700</v>
      </c>
      <c r="AV387" s="244"/>
      <c r="AW387" s="16">
        <f t="shared" si="201"/>
        <v>4700</v>
      </c>
      <c r="AX387" s="122">
        <f t="shared" si="202"/>
        <v>0</v>
      </c>
      <c r="AZ387" s="117">
        <v>4700</v>
      </c>
      <c r="BA387" s="117">
        <v>4700</v>
      </c>
      <c r="BC387" s="259"/>
      <c r="BE387" s="26">
        <v>4700</v>
      </c>
      <c r="BF387" s="26">
        <v>1236.67</v>
      </c>
      <c r="BH387" s="26">
        <v>4700</v>
      </c>
      <c r="BI387" s="244"/>
      <c r="BJ387" s="16">
        <f t="shared" si="203"/>
        <v>4700</v>
      </c>
      <c r="BK387" s="122">
        <f t="shared" si="204"/>
        <v>0</v>
      </c>
      <c r="BM387" s="117">
        <v>4700</v>
      </c>
      <c r="BN387" s="117">
        <v>4700</v>
      </c>
      <c r="BP387" s="259"/>
      <c r="BR387" s="117">
        <v>4700</v>
      </c>
      <c r="BS387" s="26">
        <v>407.44</v>
      </c>
      <c r="BU387" s="26">
        <v>4700</v>
      </c>
      <c r="BV387" s="244"/>
      <c r="BW387" s="576">
        <f t="shared" si="205"/>
        <v>4700</v>
      </c>
      <c r="BX387" s="577">
        <f t="shared" si="206"/>
        <v>0</v>
      </c>
      <c r="BZ387" s="166">
        <v>4700</v>
      </c>
      <c r="CA387" s="166">
        <v>4700</v>
      </c>
      <c r="CC387" s="753"/>
      <c r="CE387" s="166">
        <v>4700</v>
      </c>
      <c r="CF387" s="166"/>
      <c r="CJ387" s="886"/>
      <c r="CO387" s="16"/>
    </row>
    <row r="388" spans="1:93" x14ac:dyDescent="0.3">
      <c r="A388" s="11">
        <v>220</v>
      </c>
      <c r="B388" s="3" t="s">
        <v>2</v>
      </c>
      <c r="C388" s="37">
        <v>22005</v>
      </c>
      <c r="D388" s="37">
        <v>53430</v>
      </c>
      <c r="E388" s="49" t="s">
        <v>118</v>
      </c>
      <c r="F388" s="3" t="s">
        <v>2</v>
      </c>
      <c r="G388" s="3" t="s">
        <v>77</v>
      </c>
      <c r="H388" s="26">
        <v>200</v>
      </c>
      <c r="I388" s="244"/>
      <c r="J388" s="16">
        <f t="shared" si="194"/>
        <v>200</v>
      </c>
      <c r="K388" s="122">
        <f t="shared" si="195"/>
        <v>0</v>
      </c>
      <c r="M388" s="117">
        <v>200</v>
      </c>
      <c r="N388" s="117">
        <v>200</v>
      </c>
      <c r="P388" s="259"/>
      <c r="R388" s="26">
        <v>200</v>
      </c>
      <c r="S388" s="26">
        <v>86.37</v>
      </c>
      <c r="U388" s="26">
        <v>200</v>
      </c>
      <c r="V388" s="244">
        <v>0</v>
      </c>
      <c r="W388" s="16">
        <f t="shared" si="196"/>
        <v>200</v>
      </c>
      <c r="X388" s="122">
        <f t="shared" si="197"/>
        <v>0</v>
      </c>
      <c r="Z388" s="117">
        <v>200</v>
      </c>
      <c r="AA388" s="117">
        <v>200</v>
      </c>
      <c r="AC388" s="259"/>
      <c r="AE388" s="26">
        <v>200</v>
      </c>
      <c r="AF388" s="200">
        <v>11.98</v>
      </c>
      <c r="AH388" s="26">
        <v>200</v>
      </c>
      <c r="AI388" s="244"/>
      <c r="AJ388" s="16">
        <f t="shared" si="198"/>
        <v>200</v>
      </c>
      <c r="AK388" s="122">
        <f t="shared" si="199"/>
        <v>0</v>
      </c>
      <c r="AM388" s="117">
        <v>200</v>
      </c>
      <c r="AN388" s="117">
        <v>200</v>
      </c>
      <c r="AP388" s="259"/>
      <c r="AR388" s="26">
        <v>200</v>
      </c>
      <c r="AS388" s="26">
        <v>139.33000000000001</v>
      </c>
      <c r="AU388" s="26">
        <f t="shared" si="200"/>
        <v>200</v>
      </c>
      <c r="AV388" s="244"/>
      <c r="AW388" s="16">
        <f t="shared" si="201"/>
        <v>200</v>
      </c>
      <c r="AX388" s="122">
        <f t="shared" si="202"/>
        <v>0</v>
      </c>
      <c r="AZ388" s="117">
        <v>200</v>
      </c>
      <c r="BA388" s="117">
        <v>200</v>
      </c>
      <c r="BC388" s="259"/>
      <c r="BE388" s="26">
        <v>200</v>
      </c>
      <c r="BF388" s="26">
        <v>132.94</v>
      </c>
      <c r="BH388" s="26">
        <v>200</v>
      </c>
      <c r="BI388" s="244"/>
      <c r="BJ388" s="16">
        <f t="shared" si="203"/>
        <v>200</v>
      </c>
      <c r="BK388" s="122">
        <f t="shared" si="204"/>
        <v>0</v>
      </c>
      <c r="BM388" s="117">
        <v>200</v>
      </c>
      <c r="BN388" s="117">
        <v>200</v>
      </c>
      <c r="BP388" s="259"/>
      <c r="BR388" s="117">
        <v>200</v>
      </c>
      <c r="BS388" s="26">
        <v>45.97</v>
      </c>
      <c r="BU388" s="26">
        <v>200</v>
      </c>
      <c r="BV388" s="244"/>
      <c r="BW388" s="576">
        <f t="shared" si="205"/>
        <v>200</v>
      </c>
      <c r="BX388" s="577">
        <f t="shared" si="206"/>
        <v>0</v>
      </c>
      <c r="BZ388" s="166">
        <v>200</v>
      </c>
      <c r="CA388" s="166">
        <v>200</v>
      </c>
      <c r="CC388" s="753"/>
      <c r="CE388" s="166">
        <v>200</v>
      </c>
      <c r="CF388" s="166"/>
      <c r="CJ388" s="886"/>
      <c r="CO388" s="16"/>
    </row>
    <row r="389" spans="1:93" x14ac:dyDescent="0.3">
      <c r="A389" s="11">
        <v>220</v>
      </c>
      <c r="B389" s="3" t="s">
        <v>2</v>
      </c>
      <c r="C389" s="37">
        <v>22005</v>
      </c>
      <c r="D389" s="37">
        <v>53440</v>
      </c>
      <c r="E389" s="49" t="s">
        <v>118</v>
      </c>
      <c r="F389" s="3" t="s">
        <v>2</v>
      </c>
      <c r="G389" s="3" t="s">
        <v>78</v>
      </c>
      <c r="H389" s="26">
        <v>200</v>
      </c>
      <c r="I389" s="244"/>
      <c r="J389" s="16">
        <f t="shared" si="194"/>
        <v>200</v>
      </c>
      <c r="K389" s="122">
        <f t="shared" si="195"/>
        <v>0</v>
      </c>
      <c r="M389" s="117">
        <v>200</v>
      </c>
      <c r="N389" s="117">
        <v>200</v>
      </c>
      <c r="P389" s="259"/>
      <c r="R389" s="26">
        <v>200</v>
      </c>
      <c r="S389" s="26">
        <v>336.4</v>
      </c>
      <c r="U389" s="26">
        <v>200</v>
      </c>
      <c r="V389" s="244">
        <v>0</v>
      </c>
      <c r="W389" s="16">
        <f t="shared" si="196"/>
        <v>200</v>
      </c>
      <c r="X389" s="122">
        <f t="shared" si="197"/>
        <v>0</v>
      </c>
      <c r="Z389" s="117">
        <v>200</v>
      </c>
      <c r="AA389" s="117">
        <v>200</v>
      </c>
      <c r="AC389" s="259"/>
      <c r="AE389" s="26">
        <v>200</v>
      </c>
      <c r="AF389" s="200">
        <v>1709.56</v>
      </c>
      <c r="AH389" s="26">
        <v>200</v>
      </c>
      <c r="AI389" s="244"/>
      <c r="AJ389" s="16">
        <f t="shared" si="198"/>
        <v>200</v>
      </c>
      <c r="AK389" s="122">
        <f t="shared" si="199"/>
        <v>0</v>
      </c>
      <c r="AM389" s="117">
        <v>200</v>
      </c>
      <c r="AN389" s="117">
        <v>200</v>
      </c>
      <c r="AP389" s="259"/>
      <c r="AR389" s="26">
        <v>200</v>
      </c>
      <c r="AS389" s="26">
        <v>639.91999999999996</v>
      </c>
      <c r="AU389" s="26">
        <f t="shared" si="200"/>
        <v>200</v>
      </c>
      <c r="AV389" s="244"/>
      <c r="AW389" s="16">
        <f t="shared" si="201"/>
        <v>200</v>
      </c>
      <c r="AX389" s="122">
        <f t="shared" si="202"/>
        <v>0</v>
      </c>
      <c r="AZ389" s="117">
        <v>200</v>
      </c>
      <c r="BA389" s="117">
        <v>200</v>
      </c>
      <c r="BC389" s="266" t="s">
        <v>1008</v>
      </c>
      <c r="BE389" s="26">
        <v>200</v>
      </c>
      <c r="BF389" s="26">
        <v>213.06</v>
      </c>
      <c r="BH389" s="26">
        <v>200</v>
      </c>
      <c r="BI389" s="244"/>
      <c r="BJ389" s="16">
        <f t="shared" si="203"/>
        <v>200</v>
      </c>
      <c r="BK389" s="122">
        <f t="shared" si="204"/>
        <v>0</v>
      </c>
      <c r="BM389" s="117">
        <v>200</v>
      </c>
      <c r="BN389" s="117">
        <v>200</v>
      </c>
      <c r="BP389" s="259"/>
      <c r="BR389" s="117">
        <v>200</v>
      </c>
      <c r="BS389" s="26">
        <v>78</v>
      </c>
      <c r="BU389" s="26">
        <v>200</v>
      </c>
      <c r="BV389" s="244"/>
      <c r="BW389" s="576">
        <f t="shared" si="205"/>
        <v>200</v>
      </c>
      <c r="BX389" s="577">
        <f t="shared" si="206"/>
        <v>0</v>
      </c>
      <c r="BZ389" s="166">
        <v>200</v>
      </c>
      <c r="CA389" s="166">
        <v>200</v>
      </c>
      <c r="CC389" s="753"/>
      <c r="CE389" s="166">
        <v>200</v>
      </c>
      <c r="CF389" s="166"/>
      <c r="CJ389" s="886"/>
      <c r="CO389" s="16"/>
    </row>
    <row r="390" spans="1:93" x14ac:dyDescent="0.3">
      <c r="A390" s="11">
        <v>220</v>
      </c>
      <c r="C390" s="37">
        <v>22005</v>
      </c>
      <c r="D390" s="37">
        <v>53450</v>
      </c>
      <c r="E390" s="49" t="s">
        <v>118</v>
      </c>
      <c r="G390" s="3" t="s">
        <v>774</v>
      </c>
      <c r="H390" s="26"/>
      <c r="I390" s="244"/>
      <c r="M390" s="117"/>
      <c r="N390" s="117"/>
      <c r="P390" s="259"/>
      <c r="R390" s="26"/>
      <c r="S390" s="26">
        <v>70</v>
      </c>
      <c r="U390" s="26"/>
      <c r="V390" s="244"/>
      <c r="Z390" s="117"/>
      <c r="AA390" s="117"/>
      <c r="AC390" s="259"/>
      <c r="AE390" s="26"/>
      <c r="AF390" s="200"/>
      <c r="AH390" s="26"/>
      <c r="AI390" s="244"/>
      <c r="AM390" s="117">
        <v>0</v>
      </c>
      <c r="AN390" s="117">
        <v>0</v>
      </c>
      <c r="AP390" s="259"/>
      <c r="AR390" s="26">
        <v>0</v>
      </c>
      <c r="AS390" s="26">
        <v>0</v>
      </c>
      <c r="AU390" s="26">
        <f t="shared" si="200"/>
        <v>0</v>
      </c>
      <c r="AV390" s="244"/>
      <c r="AW390" s="16">
        <f t="shared" si="201"/>
        <v>0</v>
      </c>
      <c r="AZ390" s="117">
        <v>0</v>
      </c>
      <c r="BA390" s="117">
        <v>0</v>
      </c>
      <c r="BC390" s="259"/>
      <c r="BE390" s="26">
        <v>0</v>
      </c>
      <c r="BF390" s="26"/>
      <c r="BH390" s="26">
        <v>0</v>
      </c>
      <c r="BI390" s="244"/>
      <c r="BJ390" s="16">
        <f t="shared" si="203"/>
        <v>0</v>
      </c>
      <c r="BM390" s="117">
        <v>0</v>
      </c>
      <c r="BN390" s="117">
        <v>0</v>
      </c>
      <c r="BP390" s="259"/>
      <c r="BR390" s="117">
        <v>0</v>
      </c>
      <c r="BS390" s="26"/>
      <c r="BU390" s="26">
        <v>0</v>
      </c>
      <c r="BV390" s="244"/>
      <c r="BW390" s="576">
        <f t="shared" si="205"/>
        <v>0</v>
      </c>
      <c r="BZ390" s="166">
        <v>0</v>
      </c>
      <c r="CA390" s="166">
        <v>0</v>
      </c>
      <c r="CC390" s="753"/>
      <c r="CE390" s="166">
        <v>0</v>
      </c>
      <c r="CF390" s="166"/>
      <c r="CJ390" s="886"/>
      <c r="CO390" s="16"/>
    </row>
    <row r="391" spans="1:93" x14ac:dyDescent="0.3">
      <c r="A391" s="11">
        <v>220</v>
      </c>
      <c r="B391" s="3" t="s">
        <v>2</v>
      </c>
      <c r="C391" s="37">
        <v>22005</v>
      </c>
      <c r="D391" s="37">
        <v>53620</v>
      </c>
      <c r="E391" s="49" t="s">
        <v>118</v>
      </c>
      <c r="F391" s="3" t="s">
        <v>2</v>
      </c>
      <c r="G391" s="1" t="s">
        <v>79</v>
      </c>
      <c r="H391" s="26">
        <v>200</v>
      </c>
      <c r="I391" s="244"/>
      <c r="J391" s="16">
        <f t="shared" si="194"/>
        <v>200</v>
      </c>
      <c r="K391" s="122">
        <f t="shared" si="195"/>
        <v>0</v>
      </c>
      <c r="M391" s="117">
        <v>200</v>
      </c>
      <c r="N391" s="117">
        <v>200</v>
      </c>
      <c r="P391" s="259"/>
      <c r="R391" s="26">
        <v>200</v>
      </c>
      <c r="S391" s="26">
        <v>447.45</v>
      </c>
      <c r="U391" s="26">
        <v>200</v>
      </c>
      <c r="V391" s="244">
        <v>0</v>
      </c>
      <c r="W391" s="16">
        <f t="shared" si="196"/>
        <v>200</v>
      </c>
      <c r="X391" s="122">
        <f t="shared" si="197"/>
        <v>0</v>
      </c>
      <c r="Z391" s="117">
        <v>200</v>
      </c>
      <c r="AA391" s="117">
        <v>200</v>
      </c>
      <c r="AC391" s="259"/>
      <c r="AE391" s="26">
        <v>200</v>
      </c>
      <c r="AF391" s="200">
        <v>303.95</v>
      </c>
      <c r="AH391" s="26">
        <v>200</v>
      </c>
      <c r="AI391" s="244"/>
      <c r="AJ391" s="16">
        <f t="shared" ref="AJ391:AJ408" si="207">AH391+AI391</f>
        <v>200</v>
      </c>
      <c r="AK391" s="122">
        <f t="shared" ref="AK391:AK408" si="208">IF(AH391=0," ",(AJ391-AH391)/AH391)</f>
        <v>0</v>
      </c>
      <c r="AM391" s="117">
        <v>200</v>
      </c>
      <c r="AN391" s="117">
        <v>200</v>
      </c>
      <c r="AP391" s="259"/>
      <c r="AR391" s="26">
        <v>200</v>
      </c>
      <c r="AS391" s="26">
        <v>229.45</v>
      </c>
      <c r="AU391" s="26">
        <f t="shared" si="200"/>
        <v>200</v>
      </c>
      <c r="AV391" s="244"/>
      <c r="AW391" s="16">
        <f t="shared" si="201"/>
        <v>200</v>
      </c>
      <c r="AX391" s="122">
        <f t="shared" si="202"/>
        <v>0</v>
      </c>
      <c r="AZ391" s="117">
        <v>200</v>
      </c>
      <c r="BA391" s="117">
        <v>200</v>
      </c>
      <c r="BC391" s="259"/>
      <c r="BE391" s="26">
        <v>200</v>
      </c>
      <c r="BF391" s="26">
        <v>601</v>
      </c>
      <c r="BH391" s="26">
        <v>200</v>
      </c>
      <c r="BI391" s="244"/>
      <c r="BJ391" s="16">
        <f t="shared" si="203"/>
        <v>200</v>
      </c>
      <c r="BK391" s="122">
        <f t="shared" ref="BK391:BK408" si="209">IF(BH391=0," ",(BJ391-BH391)/BH391)</f>
        <v>0</v>
      </c>
      <c r="BM391" s="117">
        <v>200</v>
      </c>
      <c r="BN391" s="117">
        <v>200</v>
      </c>
      <c r="BP391" s="259"/>
      <c r="BR391" s="117">
        <v>200</v>
      </c>
      <c r="BS391" s="26">
        <v>114</v>
      </c>
      <c r="BU391" s="26">
        <v>200</v>
      </c>
      <c r="BV391" s="244"/>
      <c r="BW391" s="576">
        <f t="shared" si="205"/>
        <v>200</v>
      </c>
      <c r="BX391" s="577">
        <f t="shared" ref="BX391:BX393" si="210">IF(BU391=0," ",(BW391-BU391)/BU391)</f>
        <v>0</v>
      </c>
      <c r="BZ391" s="166">
        <v>200</v>
      </c>
      <c r="CA391" s="166">
        <v>200</v>
      </c>
      <c r="CC391" s="753"/>
      <c r="CE391" s="166">
        <v>200</v>
      </c>
      <c r="CF391" s="166"/>
      <c r="CJ391" s="886"/>
      <c r="CO391" s="16"/>
    </row>
    <row r="392" spans="1:93" x14ac:dyDescent="0.3">
      <c r="A392" s="11">
        <v>220</v>
      </c>
      <c r="B392" s="3" t="s">
        <v>2</v>
      </c>
      <c r="C392" s="37">
        <v>22005</v>
      </c>
      <c r="D392" s="37">
        <v>53800</v>
      </c>
      <c r="E392" s="49" t="s">
        <v>118</v>
      </c>
      <c r="F392" s="3" t="s">
        <v>2</v>
      </c>
      <c r="G392" s="1" t="s">
        <v>1169</v>
      </c>
      <c r="H392" s="26">
        <v>1900</v>
      </c>
      <c r="I392" s="244"/>
      <c r="J392" s="16">
        <f t="shared" si="194"/>
        <v>1900</v>
      </c>
      <c r="K392" s="122">
        <f t="shared" si="195"/>
        <v>0</v>
      </c>
      <c r="M392" s="117">
        <v>1900</v>
      </c>
      <c r="N392" s="117">
        <v>1900</v>
      </c>
      <c r="P392" s="259"/>
      <c r="R392" s="26">
        <v>1900</v>
      </c>
      <c r="S392" s="26">
        <v>470</v>
      </c>
      <c r="U392" s="26">
        <v>1900</v>
      </c>
      <c r="V392" s="244">
        <v>0</v>
      </c>
      <c r="W392" s="16">
        <f t="shared" si="196"/>
        <v>1900</v>
      </c>
      <c r="X392" s="122">
        <f t="shared" si="197"/>
        <v>0</v>
      </c>
      <c r="Z392" s="117">
        <v>1900</v>
      </c>
      <c r="AA392" s="117">
        <f>1900+2500</f>
        <v>4400</v>
      </c>
      <c r="AC392" s="259" t="s">
        <v>751</v>
      </c>
      <c r="AE392" s="26">
        <f>1900+2500</f>
        <v>4400</v>
      </c>
      <c r="AF392" s="200">
        <v>5726.59</v>
      </c>
      <c r="AH392" s="26">
        <v>4400</v>
      </c>
      <c r="AI392" s="244"/>
      <c r="AJ392" s="16">
        <f t="shared" si="207"/>
        <v>4400</v>
      </c>
      <c r="AK392" s="122">
        <f t="shared" si="208"/>
        <v>0</v>
      </c>
      <c r="AM392" s="117">
        <v>4400</v>
      </c>
      <c r="AN392" s="117">
        <v>4400</v>
      </c>
      <c r="AO392" s="178"/>
      <c r="AP392" s="224"/>
      <c r="AR392" s="26">
        <v>4400</v>
      </c>
      <c r="AS392" s="26">
        <v>11255.18</v>
      </c>
      <c r="AU392" s="26">
        <f t="shared" si="200"/>
        <v>4400</v>
      </c>
      <c r="AV392" s="244"/>
      <c r="AW392" s="16">
        <f t="shared" si="201"/>
        <v>4400</v>
      </c>
      <c r="AX392" s="122">
        <f t="shared" si="202"/>
        <v>0</v>
      </c>
      <c r="AZ392" s="117">
        <v>4400</v>
      </c>
      <c r="BA392" s="117">
        <f>4400+5000</f>
        <v>9400</v>
      </c>
      <c r="BB392" s="178"/>
      <c r="BC392" s="266" t="s">
        <v>1010</v>
      </c>
      <c r="BE392" s="26">
        <f>4400+5000</f>
        <v>9400</v>
      </c>
      <c r="BF392" s="26">
        <v>16358.81</v>
      </c>
      <c r="BH392" s="26">
        <f>4400+5000</f>
        <v>9400</v>
      </c>
      <c r="BI392" s="403">
        <v>2500</v>
      </c>
      <c r="BJ392" s="16">
        <f t="shared" si="203"/>
        <v>11900</v>
      </c>
      <c r="BK392" s="122">
        <f t="shared" si="209"/>
        <v>0.26595744680851063</v>
      </c>
      <c r="BM392" s="117">
        <v>11900</v>
      </c>
      <c r="BN392" s="117">
        <v>11900</v>
      </c>
      <c r="BO392" s="178"/>
      <c r="BP392" s="399" t="s">
        <v>1120</v>
      </c>
      <c r="BR392" s="117">
        <v>11900</v>
      </c>
      <c r="BS392" s="26">
        <v>3855.59</v>
      </c>
      <c r="BU392" s="26">
        <v>11900</v>
      </c>
      <c r="BV392" s="244"/>
      <c r="BW392" s="576">
        <f t="shared" si="205"/>
        <v>11900</v>
      </c>
      <c r="BX392" s="577">
        <f t="shared" si="210"/>
        <v>0</v>
      </c>
      <c r="BZ392" s="166">
        <v>11900</v>
      </c>
      <c r="CA392" s="166">
        <f>11900+8100</f>
        <v>20000</v>
      </c>
      <c r="CC392" s="802" t="s">
        <v>1435</v>
      </c>
      <c r="CE392" s="247">
        <f>11900+8100</f>
        <v>20000</v>
      </c>
      <c r="CF392" s="166"/>
      <c r="CH392" s="813">
        <v>8100</v>
      </c>
      <c r="CJ392" s="886"/>
      <c r="CO392" s="16"/>
    </row>
    <row r="393" spans="1:93" x14ac:dyDescent="0.3">
      <c r="A393" s="11">
        <v>220</v>
      </c>
      <c r="C393" s="37">
        <v>22005</v>
      </c>
      <c r="D393" s="37">
        <v>53802</v>
      </c>
      <c r="E393" s="49" t="s">
        <v>118</v>
      </c>
      <c r="G393" s="1" t="s">
        <v>1434</v>
      </c>
      <c r="H393" s="26"/>
      <c r="I393" s="244"/>
      <c r="M393" s="117"/>
      <c r="N393" s="117"/>
      <c r="P393" s="259"/>
      <c r="R393" s="26"/>
      <c r="S393" s="26"/>
      <c r="U393" s="26"/>
      <c r="V393" s="244"/>
      <c r="Z393" s="117"/>
      <c r="AA393" s="117"/>
      <c r="AC393" s="259"/>
      <c r="AE393" s="26"/>
      <c r="AF393" s="200"/>
      <c r="AH393" s="26"/>
      <c r="AI393" s="244"/>
      <c r="AM393" s="117"/>
      <c r="AN393" s="117"/>
      <c r="AO393" s="178"/>
      <c r="AP393" s="224"/>
      <c r="AR393" s="26"/>
      <c r="AS393" s="26"/>
      <c r="AU393" s="26"/>
      <c r="AV393" s="244"/>
      <c r="AZ393" s="117"/>
      <c r="BA393" s="117"/>
      <c r="BB393" s="178"/>
      <c r="BC393" s="266"/>
      <c r="BE393" s="26"/>
      <c r="BF393" s="26"/>
      <c r="BH393" s="26"/>
      <c r="BI393" s="403"/>
      <c r="BM393" s="117"/>
      <c r="BN393" s="117">
        <v>2125</v>
      </c>
      <c r="BO393" s="178"/>
      <c r="BP393" s="266" t="s">
        <v>1211</v>
      </c>
      <c r="BR393" s="117">
        <v>2125</v>
      </c>
      <c r="BS393" s="26"/>
      <c r="BU393" s="26">
        <v>2125</v>
      </c>
      <c r="BV393" s="244"/>
      <c r="BW393" s="576">
        <f t="shared" si="205"/>
        <v>2125</v>
      </c>
      <c r="BX393" s="577">
        <f t="shared" si="210"/>
        <v>0</v>
      </c>
      <c r="BZ393" s="166">
        <v>2125</v>
      </c>
      <c r="CA393" s="166">
        <v>2125</v>
      </c>
      <c r="CC393" s="753"/>
      <c r="CE393" s="166">
        <v>2125</v>
      </c>
      <c r="CF393" s="166"/>
      <c r="CJ393" s="886"/>
      <c r="CO393" s="16"/>
    </row>
    <row r="394" spans="1:93" x14ac:dyDescent="0.3">
      <c r="A394" s="11">
        <v>220</v>
      </c>
      <c r="B394" s="3" t="s">
        <v>2</v>
      </c>
      <c r="C394" s="37">
        <v>22005</v>
      </c>
      <c r="D394" s="37">
        <v>53900</v>
      </c>
      <c r="E394" s="49" t="s">
        <v>118</v>
      </c>
      <c r="F394" s="3" t="s">
        <v>2</v>
      </c>
      <c r="G394" s="1" t="s">
        <v>80</v>
      </c>
      <c r="H394" s="26">
        <v>100</v>
      </c>
      <c r="I394" s="244"/>
      <c r="J394" s="16">
        <f t="shared" si="194"/>
        <v>100</v>
      </c>
      <c r="K394" s="122">
        <f t="shared" si="195"/>
        <v>0</v>
      </c>
      <c r="M394" s="117">
        <v>100</v>
      </c>
      <c r="N394" s="117">
        <v>100</v>
      </c>
      <c r="P394" s="259"/>
      <c r="R394" s="26">
        <v>100</v>
      </c>
      <c r="S394" s="26">
        <v>57.92</v>
      </c>
      <c r="U394" s="26">
        <v>100</v>
      </c>
      <c r="V394" s="244">
        <v>0</v>
      </c>
      <c r="W394" s="16">
        <f t="shared" si="196"/>
        <v>100</v>
      </c>
      <c r="X394" s="122">
        <f t="shared" si="197"/>
        <v>0</v>
      </c>
      <c r="Z394" s="117">
        <v>100</v>
      </c>
      <c r="AA394" s="117">
        <v>100</v>
      </c>
      <c r="AC394" s="259"/>
      <c r="AE394" s="26">
        <v>100</v>
      </c>
      <c r="AF394" s="200">
        <v>95.43</v>
      </c>
      <c r="AH394" s="26">
        <v>100</v>
      </c>
      <c r="AI394" s="244"/>
      <c r="AJ394" s="16">
        <f t="shared" si="207"/>
        <v>100</v>
      </c>
      <c r="AK394" s="122">
        <f t="shared" si="208"/>
        <v>0</v>
      </c>
      <c r="AM394" s="117">
        <v>100</v>
      </c>
      <c r="AN394" s="117">
        <v>100</v>
      </c>
      <c r="AP394" s="259"/>
      <c r="AR394" s="26">
        <v>100</v>
      </c>
      <c r="AS394" s="26">
        <v>79.98</v>
      </c>
      <c r="AU394" s="26">
        <f t="shared" ref="AU394:AU413" si="211">AR394</f>
        <v>100</v>
      </c>
      <c r="AV394" s="244"/>
      <c r="AW394" s="16">
        <f t="shared" si="201"/>
        <v>100</v>
      </c>
      <c r="AX394" s="122">
        <f t="shared" si="202"/>
        <v>0</v>
      </c>
      <c r="AZ394" s="117">
        <v>100</v>
      </c>
      <c r="BA394" s="117">
        <v>100</v>
      </c>
      <c r="BC394" s="259"/>
      <c r="BE394" s="26">
        <v>100</v>
      </c>
      <c r="BF394" s="26">
        <v>12.38</v>
      </c>
      <c r="BH394" s="26">
        <v>100</v>
      </c>
      <c r="BI394" s="244"/>
      <c r="BJ394" s="16">
        <f t="shared" si="203"/>
        <v>100</v>
      </c>
      <c r="BK394" s="122">
        <f t="shared" si="209"/>
        <v>0</v>
      </c>
      <c r="BM394" s="117">
        <v>100</v>
      </c>
      <c r="BN394" s="117">
        <v>100</v>
      </c>
      <c r="BP394" s="259"/>
      <c r="BR394" s="117">
        <v>100</v>
      </c>
      <c r="BS394" s="26">
        <v>98.17</v>
      </c>
      <c r="BU394" s="26">
        <v>100</v>
      </c>
      <c r="BV394" s="244"/>
      <c r="BW394" s="576">
        <f t="shared" si="205"/>
        <v>100</v>
      </c>
      <c r="BX394" s="577">
        <f t="shared" ref="BX394:BX408" si="212">IF(BU394=0," ",(BW394-BU394)/BU394)</f>
        <v>0</v>
      </c>
      <c r="BZ394" s="166">
        <v>100</v>
      </c>
      <c r="CA394" s="166">
        <v>100</v>
      </c>
      <c r="CC394" s="753"/>
      <c r="CE394" s="166">
        <v>100</v>
      </c>
      <c r="CF394" s="166"/>
      <c r="CJ394" s="886"/>
      <c r="CO394" s="16"/>
    </row>
    <row r="395" spans="1:93" x14ac:dyDescent="0.3">
      <c r="A395" s="11">
        <v>220</v>
      </c>
      <c r="B395" s="3" t="s">
        <v>2</v>
      </c>
      <c r="C395" s="37">
        <v>22005</v>
      </c>
      <c r="D395" s="37">
        <v>54200</v>
      </c>
      <c r="E395" s="49" t="s">
        <v>118</v>
      </c>
      <c r="F395" s="3" t="s">
        <v>2</v>
      </c>
      <c r="G395" s="1" t="s">
        <v>926</v>
      </c>
      <c r="H395" s="26">
        <v>800</v>
      </c>
      <c r="I395" s="244"/>
      <c r="J395" s="16">
        <f t="shared" si="194"/>
        <v>800</v>
      </c>
      <c r="K395" s="122">
        <f t="shared" si="195"/>
        <v>0</v>
      </c>
      <c r="M395" s="117">
        <v>800</v>
      </c>
      <c r="N395" s="117">
        <v>800</v>
      </c>
      <c r="P395" s="259"/>
      <c r="R395" s="26">
        <v>800</v>
      </c>
      <c r="S395" s="26">
        <v>45.76</v>
      </c>
      <c r="U395" s="26">
        <v>800</v>
      </c>
      <c r="V395" s="244">
        <v>0</v>
      </c>
      <c r="W395" s="16">
        <f t="shared" si="196"/>
        <v>800</v>
      </c>
      <c r="X395" s="122">
        <f t="shared" si="197"/>
        <v>0</v>
      </c>
      <c r="Z395" s="117">
        <v>800</v>
      </c>
      <c r="AA395" s="117">
        <v>800</v>
      </c>
      <c r="AC395" s="259"/>
      <c r="AE395" s="26">
        <v>800</v>
      </c>
      <c r="AF395" s="200">
        <v>988.2</v>
      </c>
      <c r="AH395" s="26">
        <v>800</v>
      </c>
      <c r="AI395" s="244"/>
      <c r="AJ395" s="16">
        <f t="shared" si="207"/>
        <v>800</v>
      </c>
      <c r="AK395" s="122">
        <f t="shared" si="208"/>
        <v>0</v>
      </c>
      <c r="AM395" s="117">
        <v>800</v>
      </c>
      <c r="AN395" s="117">
        <v>800</v>
      </c>
      <c r="AP395" s="259"/>
      <c r="AR395" s="26">
        <v>800</v>
      </c>
      <c r="AS395" s="26">
        <v>1686.53</v>
      </c>
      <c r="AU395" s="26">
        <f t="shared" si="211"/>
        <v>800</v>
      </c>
      <c r="AV395" s="244">
        <v>500</v>
      </c>
      <c r="AW395" s="16">
        <f t="shared" si="201"/>
        <v>1300</v>
      </c>
      <c r="AX395" s="122">
        <f t="shared" si="202"/>
        <v>0.625</v>
      </c>
      <c r="AZ395" s="117">
        <v>1300</v>
      </c>
      <c r="BA395" s="117">
        <v>1300</v>
      </c>
      <c r="BC395" s="259" t="s">
        <v>1024</v>
      </c>
      <c r="BE395" s="26">
        <v>1300</v>
      </c>
      <c r="BF395" s="26">
        <v>3932.96</v>
      </c>
      <c r="BH395" s="26">
        <v>1300</v>
      </c>
      <c r="BI395" s="244"/>
      <c r="BJ395" s="16">
        <f t="shared" si="203"/>
        <v>1300</v>
      </c>
      <c r="BK395" s="122">
        <f t="shared" si="209"/>
        <v>0</v>
      </c>
      <c r="BM395" s="117">
        <v>1300</v>
      </c>
      <c r="BN395" s="117">
        <v>1300</v>
      </c>
      <c r="BP395" s="259"/>
      <c r="BR395" s="117">
        <v>1300</v>
      </c>
      <c r="BS395" s="26"/>
      <c r="BU395" s="26">
        <v>1300</v>
      </c>
      <c r="BV395" s="244"/>
      <c r="BW395" s="576">
        <f t="shared" si="205"/>
        <v>1300</v>
      </c>
      <c r="BX395" s="577">
        <f t="shared" si="212"/>
        <v>0</v>
      </c>
      <c r="BZ395" s="166">
        <v>1300</v>
      </c>
      <c r="CA395" s="166">
        <v>1300</v>
      </c>
      <c r="CC395" s="753"/>
      <c r="CE395" s="166">
        <v>1300</v>
      </c>
      <c r="CF395" s="166"/>
      <c r="CJ395" s="886"/>
      <c r="CO395" s="16"/>
    </row>
    <row r="396" spans="1:93" x14ac:dyDescent="0.3">
      <c r="A396" s="11">
        <v>220</v>
      </c>
      <c r="B396" s="3" t="s">
        <v>2</v>
      </c>
      <c r="C396" s="37">
        <v>22005</v>
      </c>
      <c r="D396" s="37">
        <v>54202</v>
      </c>
      <c r="E396" s="49" t="s">
        <v>118</v>
      </c>
      <c r="F396" s="3" t="s">
        <v>2</v>
      </c>
      <c r="G396" s="1" t="s">
        <v>922</v>
      </c>
      <c r="H396" s="26">
        <v>500</v>
      </c>
      <c r="I396" s="244"/>
      <c r="J396" s="16">
        <f>H396+I396</f>
        <v>500</v>
      </c>
      <c r="K396" s="122">
        <f>IF(H396=0," ",(J396-H396)/H396)</f>
        <v>0</v>
      </c>
      <c r="M396" s="117">
        <v>500</v>
      </c>
      <c r="N396" s="117">
        <v>500</v>
      </c>
      <c r="P396" s="259"/>
      <c r="R396" s="26">
        <v>500</v>
      </c>
      <c r="S396" s="26">
        <v>749</v>
      </c>
      <c r="U396" s="26">
        <v>500</v>
      </c>
      <c r="V396" s="244">
        <v>0</v>
      </c>
      <c r="W396" s="16">
        <f>U396+V396</f>
        <v>500</v>
      </c>
      <c r="X396" s="122">
        <f>IF(U396=0," ",(W396-U396)/U396)</f>
        <v>0</v>
      </c>
      <c r="Z396" s="117">
        <v>500</v>
      </c>
      <c r="AA396" s="117">
        <v>500</v>
      </c>
      <c r="AC396" s="259"/>
      <c r="AE396" s="26">
        <v>500</v>
      </c>
      <c r="AF396" s="200">
        <v>648.99</v>
      </c>
      <c r="AH396" s="26">
        <v>500</v>
      </c>
      <c r="AI396" s="244"/>
      <c r="AJ396" s="16">
        <f t="shared" si="207"/>
        <v>500</v>
      </c>
      <c r="AK396" s="122">
        <f t="shared" si="208"/>
        <v>0</v>
      </c>
      <c r="AM396" s="117">
        <v>500</v>
      </c>
      <c r="AN396" s="117">
        <v>500</v>
      </c>
      <c r="AP396" s="259"/>
      <c r="AR396" s="26">
        <v>500</v>
      </c>
      <c r="AS396" s="26">
        <v>0</v>
      </c>
      <c r="AU396" s="26">
        <f t="shared" si="211"/>
        <v>500</v>
      </c>
      <c r="AV396" s="244">
        <v>-500</v>
      </c>
      <c r="AW396" s="16">
        <f>AU396+AV396</f>
        <v>0</v>
      </c>
      <c r="AX396" s="122">
        <f>IF(AU396=0," ",(AW396-AU396)/AU396)</f>
        <v>-1</v>
      </c>
      <c r="AZ396" s="117">
        <v>0</v>
      </c>
      <c r="BA396" s="117">
        <v>0</v>
      </c>
      <c r="BC396" s="259" t="s">
        <v>1024</v>
      </c>
      <c r="BE396" s="26">
        <v>0</v>
      </c>
      <c r="BF396" s="26"/>
      <c r="BH396" s="26">
        <v>0</v>
      </c>
      <c r="BI396" s="244"/>
      <c r="BJ396" s="16">
        <f t="shared" si="203"/>
        <v>0</v>
      </c>
      <c r="BK396" s="122" t="str">
        <f t="shared" si="209"/>
        <v xml:space="preserve"> </v>
      </c>
      <c r="BM396" s="117">
        <v>0</v>
      </c>
      <c r="BN396" s="117">
        <v>0</v>
      </c>
      <c r="BP396" s="259"/>
      <c r="BR396" s="117">
        <v>0</v>
      </c>
      <c r="BS396" s="26"/>
      <c r="BU396" s="26">
        <v>0</v>
      </c>
      <c r="BV396" s="244"/>
      <c r="BW396" s="576">
        <f t="shared" si="205"/>
        <v>0</v>
      </c>
      <c r="BX396" s="577" t="str">
        <f t="shared" si="212"/>
        <v xml:space="preserve"> </v>
      </c>
      <c r="BZ396" s="166">
        <v>0</v>
      </c>
      <c r="CA396" s="166">
        <v>0</v>
      </c>
      <c r="CC396" s="753"/>
      <c r="CE396" s="166">
        <v>0</v>
      </c>
      <c r="CF396" s="166"/>
      <c r="CJ396" s="886"/>
      <c r="CO396" s="16"/>
    </row>
    <row r="397" spans="1:93" x14ac:dyDescent="0.3">
      <c r="A397" s="11">
        <v>220</v>
      </c>
      <c r="B397" s="3" t="s">
        <v>2</v>
      </c>
      <c r="C397" s="37">
        <v>22005</v>
      </c>
      <c r="D397" s="37">
        <v>54300</v>
      </c>
      <c r="E397" s="49" t="s">
        <v>118</v>
      </c>
      <c r="F397" s="3" t="s">
        <v>2</v>
      </c>
      <c r="G397" s="1" t="s">
        <v>90</v>
      </c>
      <c r="H397" s="26">
        <v>2850</v>
      </c>
      <c r="I397" s="244"/>
      <c r="J397" s="16">
        <f t="shared" si="194"/>
        <v>2850</v>
      </c>
      <c r="K397" s="122">
        <f t="shared" si="195"/>
        <v>0</v>
      </c>
      <c r="M397" s="117">
        <v>2850</v>
      </c>
      <c r="N397" s="117">
        <v>2850</v>
      </c>
      <c r="P397" s="259"/>
      <c r="R397" s="26">
        <v>2850</v>
      </c>
      <c r="S397" s="26">
        <v>3500.71</v>
      </c>
      <c r="U397" s="26">
        <v>2850</v>
      </c>
      <c r="V397" s="244">
        <v>0</v>
      </c>
      <c r="W397" s="16">
        <f t="shared" si="196"/>
        <v>2850</v>
      </c>
      <c r="X397" s="122">
        <f t="shared" si="197"/>
        <v>0</v>
      </c>
      <c r="Z397" s="117">
        <v>2850</v>
      </c>
      <c r="AA397" s="117">
        <v>2850</v>
      </c>
      <c r="AC397" s="259"/>
      <c r="AE397" s="26">
        <v>2850</v>
      </c>
      <c r="AF397" s="200">
        <v>3166.92</v>
      </c>
      <c r="AH397" s="26">
        <v>2850</v>
      </c>
      <c r="AI397" s="244"/>
      <c r="AJ397" s="16">
        <f t="shared" si="207"/>
        <v>2850</v>
      </c>
      <c r="AK397" s="122">
        <f t="shared" si="208"/>
        <v>0</v>
      </c>
      <c r="AM397" s="117">
        <v>2850</v>
      </c>
      <c r="AN397" s="117">
        <v>2850</v>
      </c>
      <c r="AP397" s="259"/>
      <c r="AR397" s="26">
        <v>2850</v>
      </c>
      <c r="AS397" s="26">
        <v>1295.8800000000001</v>
      </c>
      <c r="AU397" s="26">
        <f t="shared" si="211"/>
        <v>2850</v>
      </c>
      <c r="AV397" s="244"/>
      <c r="AW397" s="16">
        <f t="shared" si="201"/>
        <v>2850</v>
      </c>
      <c r="AX397" s="122">
        <f t="shared" si="202"/>
        <v>0</v>
      </c>
      <c r="AZ397" s="117">
        <v>2850</v>
      </c>
      <c r="BA397" s="117">
        <v>2850</v>
      </c>
      <c r="BC397" s="259"/>
      <c r="BE397" s="26">
        <v>2850</v>
      </c>
      <c r="BF397" s="26">
        <v>4680.99</v>
      </c>
      <c r="BH397" s="26">
        <v>2850</v>
      </c>
      <c r="BI397" s="244"/>
      <c r="BJ397" s="16">
        <f t="shared" si="203"/>
        <v>2850</v>
      </c>
      <c r="BK397" s="122">
        <f t="shared" si="209"/>
        <v>0</v>
      </c>
      <c r="BM397" s="117">
        <v>2850</v>
      </c>
      <c r="BN397" s="117">
        <v>2850</v>
      </c>
      <c r="BP397" s="259"/>
      <c r="BR397" s="117">
        <v>2850</v>
      </c>
      <c r="BS397" s="26">
        <v>379.61</v>
      </c>
      <c r="BU397" s="26">
        <v>2850</v>
      </c>
      <c r="BV397" s="244"/>
      <c r="BW397" s="576">
        <f t="shared" si="205"/>
        <v>2850</v>
      </c>
      <c r="BX397" s="577">
        <f t="shared" si="212"/>
        <v>0</v>
      </c>
      <c r="BZ397" s="166">
        <v>2850</v>
      </c>
      <c r="CA397" s="166">
        <v>2850</v>
      </c>
      <c r="CC397" s="753"/>
      <c r="CE397" s="166">
        <v>2850</v>
      </c>
      <c r="CF397" s="166"/>
      <c r="CJ397" s="886"/>
      <c r="CO397" s="16"/>
    </row>
    <row r="398" spans="1:93" x14ac:dyDescent="0.3">
      <c r="A398" s="11">
        <v>220</v>
      </c>
      <c r="B398" s="3" t="s">
        <v>2</v>
      </c>
      <c r="C398" s="37">
        <v>22005</v>
      </c>
      <c r="D398" s="37">
        <v>54400</v>
      </c>
      <c r="E398" s="49" t="s">
        <v>118</v>
      </c>
      <c r="F398" s="3" t="s">
        <v>2</v>
      </c>
      <c r="G398" s="1" t="s">
        <v>91</v>
      </c>
      <c r="H398" s="26">
        <v>2000</v>
      </c>
      <c r="I398" s="244"/>
      <c r="J398" s="16">
        <f t="shared" si="194"/>
        <v>2000</v>
      </c>
      <c r="K398" s="122">
        <f t="shared" si="195"/>
        <v>0</v>
      </c>
      <c r="M398" s="117">
        <v>2000</v>
      </c>
      <c r="N398" s="117">
        <v>2000</v>
      </c>
      <c r="P398" s="259"/>
      <c r="R398" s="26">
        <v>2000</v>
      </c>
      <c r="S398" s="26">
        <v>4020.46</v>
      </c>
      <c r="U398" s="26">
        <v>2000</v>
      </c>
      <c r="V398" s="244">
        <v>0</v>
      </c>
      <c r="W398" s="16">
        <f t="shared" si="196"/>
        <v>2000</v>
      </c>
      <c r="X398" s="122">
        <f t="shared" si="197"/>
        <v>0</v>
      </c>
      <c r="Z398" s="117">
        <v>2000</v>
      </c>
      <c r="AA398" s="117">
        <v>2000</v>
      </c>
      <c r="AC398" s="259"/>
      <c r="AE398" s="26">
        <v>2000</v>
      </c>
      <c r="AF398" s="200">
        <v>8520.26</v>
      </c>
      <c r="AH398" s="26">
        <v>2000</v>
      </c>
      <c r="AI398" s="244"/>
      <c r="AJ398" s="16">
        <f t="shared" si="207"/>
        <v>2000</v>
      </c>
      <c r="AK398" s="122">
        <f t="shared" si="208"/>
        <v>0</v>
      </c>
      <c r="AM398" s="117">
        <v>2000</v>
      </c>
      <c r="AN398" s="117">
        <v>2000</v>
      </c>
      <c r="AP398" s="259"/>
      <c r="AR398" s="26">
        <v>2000</v>
      </c>
      <c r="AS398" s="26">
        <v>3527.02</v>
      </c>
      <c r="AU398" s="26">
        <f t="shared" si="211"/>
        <v>2000</v>
      </c>
      <c r="AV398" s="244"/>
      <c r="AW398" s="16">
        <f t="shared" si="201"/>
        <v>2000</v>
      </c>
      <c r="AX398" s="122">
        <f t="shared" si="202"/>
        <v>0</v>
      </c>
      <c r="AZ398" s="117">
        <v>2000</v>
      </c>
      <c r="BA398" s="117">
        <v>2000</v>
      </c>
      <c r="BC398" s="259"/>
      <c r="BE398" s="26">
        <v>2000</v>
      </c>
      <c r="BF398" s="26">
        <v>1914.59</v>
      </c>
      <c r="BH398" s="26">
        <v>2000</v>
      </c>
      <c r="BI398" s="244"/>
      <c r="BJ398" s="16">
        <f t="shared" si="203"/>
        <v>2000</v>
      </c>
      <c r="BK398" s="122">
        <f t="shared" si="209"/>
        <v>0</v>
      </c>
      <c r="BM398" s="117">
        <v>2000</v>
      </c>
      <c r="BN398" s="117">
        <v>2000</v>
      </c>
      <c r="BP398" s="259"/>
      <c r="BR398" s="117">
        <v>2000</v>
      </c>
      <c r="BS398" s="26">
        <v>2131.81</v>
      </c>
      <c r="BU398" s="26">
        <v>2000</v>
      </c>
      <c r="BV398" s="244"/>
      <c r="BW398" s="576">
        <f t="shared" si="205"/>
        <v>2000</v>
      </c>
      <c r="BX398" s="577">
        <f t="shared" si="212"/>
        <v>0</v>
      </c>
      <c r="BZ398" s="166">
        <v>2000</v>
      </c>
      <c r="CA398" s="166">
        <v>2000</v>
      </c>
      <c r="CC398" s="753"/>
      <c r="CE398" s="166">
        <v>2000</v>
      </c>
      <c r="CF398" s="166"/>
      <c r="CJ398" s="886"/>
      <c r="CO398" s="16"/>
    </row>
    <row r="399" spans="1:93" x14ac:dyDescent="0.3">
      <c r="A399" s="11">
        <v>220</v>
      </c>
      <c r="B399" s="3" t="s">
        <v>2</v>
      </c>
      <c r="C399" s="37">
        <v>22005</v>
      </c>
      <c r="D399" s="37">
        <v>54500</v>
      </c>
      <c r="E399" s="49" t="s">
        <v>118</v>
      </c>
      <c r="F399" s="3" t="s">
        <v>2</v>
      </c>
      <c r="G399" s="1" t="s">
        <v>92</v>
      </c>
      <c r="H399" s="26">
        <v>600</v>
      </c>
      <c r="I399" s="244"/>
      <c r="J399" s="16">
        <f t="shared" si="194"/>
        <v>600</v>
      </c>
      <c r="K399" s="122">
        <f t="shared" si="195"/>
        <v>0</v>
      </c>
      <c r="M399" s="117">
        <v>600</v>
      </c>
      <c r="N399" s="117">
        <v>600</v>
      </c>
      <c r="P399" s="259"/>
      <c r="R399" s="26">
        <v>600</v>
      </c>
      <c r="S399" s="26">
        <v>629.77</v>
      </c>
      <c r="U399" s="26">
        <v>600</v>
      </c>
      <c r="V399" s="244">
        <v>0</v>
      </c>
      <c r="W399" s="16">
        <f t="shared" si="196"/>
        <v>600</v>
      </c>
      <c r="X399" s="122">
        <f t="shared" si="197"/>
        <v>0</v>
      </c>
      <c r="Z399" s="117">
        <v>600</v>
      </c>
      <c r="AA399" s="117">
        <v>600</v>
      </c>
      <c r="AC399" s="259"/>
      <c r="AE399" s="26">
        <v>600</v>
      </c>
      <c r="AF399" s="200">
        <v>264.98</v>
      </c>
      <c r="AH399" s="26">
        <v>600</v>
      </c>
      <c r="AI399" s="244"/>
      <c r="AJ399" s="16">
        <f t="shared" si="207"/>
        <v>600</v>
      </c>
      <c r="AK399" s="122">
        <f t="shared" si="208"/>
        <v>0</v>
      </c>
      <c r="AM399" s="117">
        <v>600</v>
      </c>
      <c r="AN399" s="117">
        <v>600</v>
      </c>
      <c r="AP399" s="259"/>
      <c r="AR399" s="26">
        <v>600</v>
      </c>
      <c r="AS399" s="26">
        <v>39</v>
      </c>
      <c r="AU399" s="26">
        <f t="shared" si="211"/>
        <v>600</v>
      </c>
      <c r="AV399" s="244"/>
      <c r="AW399" s="16">
        <f t="shared" si="201"/>
        <v>600</v>
      </c>
      <c r="AX399" s="122">
        <f t="shared" si="202"/>
        <v>0</v>
      </c>
      <c r="AZ399" s="117">
        <v>600</v>
      </c>
      <c r="BA399" s="117">
        <v>600</v>
      </c>
      <c r="BC399" s="259"/>
      <c r="BE399" s="26">
        <v>600</v>
      </c>
      <c r="BF399" s="26">
        <v>1703.26</v>
      </c>
      <c r="BH399" s="26">
        <v>600</v>
      </c>
      <c r="BI399" s="244"/>
      <c r="BJ399" s="16">
        <f t="shared" si="203"/>
        <v>600</v>
      </c>
      <c r="BK399" s="122">
        <f t="shared" si="209"/>
        <v>0</v>
      </c>
      <c r="BM399" s="117">
        <v>600</v>
      </c>
      <c r="BN399" s="117">
        <v>600</v>
      </c>
      <c r="BP399" s="259"/>
      <c r="BR399" s="117">
        <v>600</v>
      </c>
      <c r="BS399" s="26"/>
      <c r="BU399" s="26">
        <v>600</v>
      </c>
      <c r="BV399" s="244"/>
      <c r="BW399" s="576">
        <f t="shared" si="205"/>
        <v>600</v>
      </c>
      <c r="BX399" s="577">
        <f t="shared" si="212"/>
        <v>0</v>
      </c>
      <c r="BZ399" s="166">
        <v>600</v>
      </c>
      <c r="CA399" s="166">
        <v>600</v>
      </c>
      <c r="CC399" s="753"/>
      <c r="CE399" s="166">
        <v>600</v>
      </c>
      <c r="CF399" s="166"/>
      <c r="CJ399" s="886"/>
      <c r="CO399" s="16"/>
    </row>
    <row r="400" spans="1:93" x14ac:dyDescent="0.3">
      <c r="A400" s="11">
        <v>220</v>
      </c>
      <c r="B400" s="3" t="s">
        <v>2</v>
      </c>
      <c r="C400" s="37">
        <v>22005</v>
      </c>
      <c r="D400" s="37">
        <v>54800</v>
      </c>
      <c r="E400" s="49" t="s">
        <v>118</v>
      </c>
      <c r="F400" s="3" t="s">
        <v>2</v>
      </c>
      <c r="G400" s="1" t="s">
        <v>927</v>
      </c>
      <c r="H400" s="26">
        <v>2500</v>
      </c>
      <c r="I400" s="244"/>
      <c r="J400" s="16">
        <f t="shared" si="194"/>
        <v>2500</v>
      </c>
      <c r="K400" s="122">
        <f t="shared" si="195"/>
        <v>0</v>
      </c>
      <c r="M400" s="117">
        <v>2500</v>
      </c>
      <c r="N400" s="117">
        <v>2500</v>
      </c>
      <c r="P400" s="259"/>
      <c r="R400" s="26">
        <v>2500</v>
      </c>
      <c r="S400" s="26">
        <v>994.95</v>
      </c>
      <c r="U400" s="26">
        <v>2500</v>
      </c>
      <c r="V400" s="244">
        <v>0</v>
      </c>
      <c r="W400" s="16">
        <f t="shared" si="196"/>
        <v>2500</v>
      </c>
      <c r="X400" s="122">
        <f t="shared" si="197"/>
        <v>0</v>
      </c>
      <c r="Z400" s="117">
        <v>2500</v>
      </c>
      <c r="AA400" s="117">
        <v>2500</v>
      </c>
      <c r="AC400" s="259"/>
      <c r="AE400" s="26">
        <v>2500</v>
      </c>
      <c r="AF400" s="200">
        <v>1579.72</v>
      </c>
      <c r="AH400" s="26">
        <v>2500</v>
      </c>
      <c r="AI400" s="244"/>
      <c r="AJ400" s="16">
        <f t="shared" si="207"/>
        <v>2500</v>
      </c>
      <c r="AK400" s="122">
        <f t="shared" si="208"/>
        <v>0</v>
      </c>
      <c r="AM400" s="117">
        <v>2500</v>
      </c>
      <c r="AN400" s="117">
        <v>2500</v>
      </c>
      <c r="AP400" s="259"/>
      <c r="AR400" s="26">
        <v>2500</v>
      </c>
      <c r="AS400" s="26">
        <v>5723.77</v>
      </c>
      <c r="AU400" s="26">
        <f t="shared" si="211"/>
        <v>2500</v>
      </c>
      <c r="AV400" s="244">
        <v>500</v>
      </c>
      <c r="AW400" s="16">
        <f t="shared" si="201"/>
        <v>3000</v>
      </c>
      <c r="AX400" s="122">
        <f t="shared" si="202"/>
        <v>0.2</v>
      </c>
      <c r="AZ400" s="117">
        <v>3000</v>
      </c>
      <c r="BA400" s="117">
        <v>3000</v>
      </c>
      <c r="BC400" s="259" t="s">
        <v>1024</v>
      </c>
      <c r="BE400" s="26">
        <v>3000</v>
      </c>
      <c r="BF400" s="26">
        <v>4036.39</v>
      </c>
      <c r="BH400" s="26">
        <v>3000</v>
      </c>
      <c r="BI400" s="244"/>
      <c r="BJ400" s="16">
        <f t="shared" si="203"/>
        <v>3000</v>
      </c>
      <c r="BK400" s="122">
        <f t="shared" si="209"/>
        <v>0</v>
      </c>
      <c r="BM400" s="117">
        <v>3000</v>
      </c>
      <c r="BN400" s="117">
        <v>3000</v>
      </c>
      <c r="BP400" s="259"/>
      <c r="BR400" s="117">
        <v>3000</v>
      </c>
      <c r="BS400" s="26">
        <v>605.86</v>
      </c>
      <c r="BU400" s="26">
        <v>3000</v>
      </c>
      <c r="BV400" s="244"/>
      <c r="BW400" s="576">
        <f t="shared" si="205"/>
        <v>3000</v>
      </c>
      <c r="BX400" s="577">
        <f t="shared" si="212"/>
        <v>0</v>
      </c>
      <c r="BZ400" s="166">
        <v>3000</v>
      </c>
      <c r="CA400" s="166">
        <v>3000</v>
      </c>
      <c r="CC400" s="753"/>
      <c r="CE400" s="166">
        <v>3000</v>
      </c>
      <c r="CF400" s="166"/>
      <c r="CJ400" s="886"/>
      <c r="CO400" s="16"/>
    </row>
    <row r="401" spans="1:93" x14ac:dyDescent="0.3">
      <c r="A401" s="11">
        <v>220</v>
      </c>
      <c r="B401" s="3" t="s">
        <v>2</v>
      </c>
      <c r="C401" s="37">
        <v>22005</v>
      </c>
      <c r="D401" s="37">
        <v>54802</v>
      </c>
      <c r="E401" s="49" t="s">
        <v>118</v>
      </c>
      <c r="F401" s="3" t="s">
        <v>2</v>
      </c>
      <c r="G401" s="1" t="s">
        <v>921</v>
      </c>
      <c r="H401" s="26">
        <v>500</v>
      </c>
      <c r="I401" s="244"/>
      <c r="J401" s="16">
        <f>H401+I401</f>
        <v>500</v>
      </c>
      <c r="K401" s="122">
        <f>IF(H401=0," ",(J401-H401)/H401)</f>
        <v>0</v>
      </c>
      <c r="M401" s="117">
        <v>500</v>
      </c>
      <c r="N401" s="117">
        <v>500</v>
      </c>
      <c r="P401" s="259"/>
      <c r="R401" s="26">
        <v>500</v>
      </c>
      <c r="S401" s="26">
        <v>800</v>
      </c>
      <c r="U401" s="26">
        <v>500</v>
      </c>
      <c r="V401" s="244">
        <v>0</v>
      </c>
      <c r="W401" s="16">
        <f>U401+V401</f>
        <v>500</v>
      </c>
      <c r="X401" s="122">
        <f>IF(U401=0," ",(W401-U401)/U401)</f>
        <v>0</v>
      </c>
      <c r="Z401" s="117">
        <v>500</v>
      </c>
      <c r="AA401" s="117">
        <v>500</v>
      </c>
      <c r="AC401" s="259"/>
      <c r="AE401" s="26">
        <v>500</v>
      </c>
      <c r="AF401" s="200">
        <v>200</v>
      </c>
      <c r="AH401" s="26">
        <v>500</v>
      </c>
      <c r="AI401" s="244"/>
      <c r="AJ401" s="16">
        <f>AH401+AI401</f>
        <v>500</v>
      </c>
      <c r="AK401" s="122">
        <f>IF(AH401=0," ",(AJ401-AH401)/AH401)</f>
        <v>0</v>
      </c>
      <c r="AM401" s="117">
        <v>500</v>
      </c>
      <c r="AN401" s="117">
        <v>500</v>
      </c>
      <c r="AP401" s="259"/>
      <c r="AR401" s="26">
        <v>500</v>
      </c>
      <c r="AS401" s="26">
        <v>0</v>
      </c>
      <c r="AU401" s="26">
        <f t="shared" si="211"/>
        <v>500</v>
      </c>
      <c r="AV401" s="244">
        <v>-500</v>
      </c>
      <c r="AW401" s="16">
        <f>AU401+AV401</f>
        <v>0</v>
      </c>
      <c r="AX401" s="122">
        <f>IF(AU401=0," ",(AW401-AU401)/AU401)</f>
        <v>-1</v>
      </c>
      <c r="AZ401" s="117">
        <v>0</v>
      </c>
      <c r="BA401" s="117">
        <v>0</v>
      </c>
      <c r="BC401" s="259" t="s">
        <v>1024</v>
      </c>
      <c r="BE401" s="26">
        <v>0</v>
      </c>
      <c r="BF401" s="26"/>
      <c r="BH401" s="26">
        <v>0</v>
      </c>
      <c r="BI401" s="244"/>
      <c r="BJ401" s="16">
        <f t="shared" si="203"/>
        <v>0</v>
      </c>
      <c r="BK401" s="122" t="str">
        <f t="shared" si="209"/>
        <v xml:space="preserve"> </v>
      </c>
      <c r="BM401" s="117">
        <v>0</v>
      </c>
      <c r="BN401" s="117">
        <v>0</v>
      </c>
      <c r="BP401" s="259"/>
      <c r="BR401" s="117">
        <v>0</v>
      </c>
      <c r="BS401" s="26"/>
      <c r="BU401" s="26">
        <v>0</v>
      </c>
      <c r="BV401" s="244"/>
      <c r="BW401" s="576">
        <f t="shared" si="205"/>
        <v>0</v>
      </c>
      <c r="BX401" s="577" t="str">
        <f t="shared" si="212"/>
        <v xml:space="preserve"> </v>
      </c>
      <c r="BZ401" s="166">
        <v>0</v>
      </c>
      <c r="CA401" s="166">
        <v>0</v>
      </c>
      <c r="CC401" s="753"/>
      <c r="CE401" s="166">
        <v>0</v>
      </c>
      <c r="CF401" s="166"/>
      <c r="CJ401" s="886"/>
      <c r="CO401" s="16"/>
    </row>
    <row r="402" spans="1:93" x14ac:dyDescent="0.3">
      <c r="A402" s="11">
        <v>220</v>
      </c>
      <c r="B402" s="3" t="s">
        <v>2</v>
      </c>
      <c r="C402" s="37">
        <v>22005</v>
      </c>
      <c r="D402" s="37">
        <v>55000</v>
      </c>
      <c r="E402" s="49" t="s">
        <v>118</v>
      </c>
      <c r="F402" s="3" t="s">
        <v>2</v>
      </c>
      <c r="G402" s="1" t="s">
        <v>928</v>
      </c>
      <c r="H402" s="26">
        <v>2000</v>
      </c>
      <c r="I402" s="244">
        <v>500</v>
      </c>
      <c r="J402" s="16">
        <f t="shared" si="194"/>
        <v>2500</v>
      </c>
      <c r="K402" s="122">
        <f t="shared" si="195"/>
        <v>0.25</v>
      </c>
      <c r="M402" s="117">
        <v>2500</v>
      </c>
      <c r="N402" s="117">
        <v>2500</v>
      </c>
      <c r="P402" s="259" t="s">
        <v>605</v>
      </c>
      <c r="R402" s="26">
        <v>2500</v>
      </c>
      <c r="S402" s="26">
        <v>3741.99</v>
      </c>
      <c r="U402" s="26">
        <v>2500</v>
      </c>
      <c r="V402" s="244">
        <v>0</v>
      </c>
      <c r="W402" s="16">
        <f t="shared" si="196"/>
        <v>2500</v>
      </c>
      <c r="X402" s="122">
        <f t="shared" si="197"/>
        <v>0</v>
      </c>
      <c r="Z402" s="117">
        <v>2500</v>
      </c>
      <c r="AA402" s="117">
        <f>2500+2500</f>
        <v>5000</v>
      </c>
      <c r="AC402" s="259" t="s">
        <v>756</v>
      </c>
      <c r="AE402" s="26">
        <f>2500+2500</f>
        <v>5000</v>
      </c>
      <c r="AF402" s="200">
        <v>4153.4399999999996</v>
      </c>
      <c r="AH402" s="26">
        <v>5000</v>
      </c>
      <c r="AI402" s="244"/>
      <c r="AJ402" s="16">
        <f t="shared" si="207"/>
        <v>5000</v>
      </c>
      <c r="AK402" s="122">
        <f t="shared" si="208"/>
        <v>0</v>
      </c>
      <c r="AM402" s="117">
        <v>5000</v>
      </c>
      <c r="AN402" s="117">
        <v>5000</v>
      </c>
      <c r="AO402" s="226"/>
      <c r="AP402" s="224"/>
      <c r="AR402" s="26">
        <v>5000</v>
      </c>
      <c r="AS402" s="26">
        <v>2405.2199999999998</v>
      </c>
      <c r="AU402" s="26">
        <f t="shared" si="211"/>
        <v>5000</v>
      </c>
      <c r="AV402" s="244">
        <v>2000</v>
      </c>
      <c r="AW402" s="16">
        <f t="shared" si="201"/>
        <v>7000</v>
      </c>
      <c r="AX402" s="122">
        <f t="shared" si="202"/>
        <v>0.4</v>
      </c>
      <c r="AZ402" s="117">
        <v>7000</v>
      </c>
      <c r="BA402" s="117">
        <f>7000+1000</f>
        <v>8000</v>
      </c>
      <c r="BB402" s="226"/>
      <c r="BC402" s="266" t="s">
        <v>1009</v>
      </c>
      <c r="BE402" s="26">
        <f>7000+1000</f>
        <v>8000</v>
      </c>
      <c r="BF402" s="26">
        <v>12124.75</v>
      </c>
      <c r="BH402" s="26">
        <f>7000+1000</f>
        <v>8000</v>
      </c>
      <c r="BI402" s="244"/>
      <c r="BJ402" s="16">
        <f t="shared" si="203"/>
        <v>8000</v>
      </c>
      <c r="BK402" s="122">
        <f t="shared" si="209"/>
        <v>0</v>
      </c>
      <c r="BM402" s="117">
        <v>8000</v>
      </c>
      <c r="BN402" s="117">
        <v>8000</v>
      </c>
      <c r="BO402" s="226"/>
      <c r="BP402" s="259"/>
      <c r="BR402" s="117">
        <v>8000</v>
      </c>
      <c r="BS402" s="26">
        <v>4571.45</v>
      </c>
      <c r="BU402" s="26">
        <v>8000</v>
      </c>
      <c r="BV402" s="244"/>
      <c r="BW402" s="576">
        <f t="shared" si="205"/>
        <v>8000</v>
      </c>
      <c r="BX402" s="577">
        <f t="shared" si="212"/>
        <v>0</v>
      </c>
      <c r="BZ402" s="166">
        <v>8000</v>
      </c>
      <c r="CA402" s="166">
        <f>8000+6000</f>
        <v>14000</v>
      </c>
      <c r="CB402" s="580"/>
      <c r="CC402" s="802" t="s">
        <v>1436</v>
      </c>
      <c r="CE402" s="247">
        <f>8000+6000</f>
        <v>14000</v>
      </c>
      <c r="CF402" s="166"/>
      <c r="CH402" s="813">
        <v>6000</v>
      </c>
      <c r="CJ402" s="886"/>
      <c r="CO402" s="16"/>
    </row>
    <row r="403" spans="1:93" x14ac:dyDescent="0.3">
      <c r="A403" s="11">
        <v>220</v>
      </c>
      <c r="B403" s="3" t="s">
        <v>2</v>
      </c>
      <c r="C403" s="37">
        <v>22005</v>
      </c>
      <c r="D403" s="304">
        <v>55002</v>
      </c>
      <c r="E403" s="49" t="s">
        <v>118</v>
      </c>
      <c r="F403" s="3" t="s">
        <v>2</v>
      </c>
      <c r="G403" s="1" t="s">
        <v>84</v>
      </c>
      <c r="H403" s="26">
        <v>2000</v>
      </c>
      <c r="I403" s="244"/>
      <c r="J403" s="16">
        <f>H403+I403</f>
        <v>2000</v>
      </c>
      <c r="K403" s="122">
        <f>IF(H403=0," ",(J403-H403)/H403)</f>
        <v>0</v>
      </c>
      <c r="M403" s="117">
        <v>2000</v>
      </c>
      <c r="N403" s="117">
        <v>2000</v>
      </c>
      <c r="P403" s="259"/>
      <c r="R403" s="26">
        <v>2000</v>
      </c>
      <c r="S403" s="26">
        <v>13529.9</v>
      </c>
      <c r="U403" s="26">
        <v>2000</v>
      </c>
      <c r="V403" s="244">
        <v>0</v>
      </c>
      <c r="W403" s="16">
        <f>U403+V403</f>
        <v>2000</v>
      </c>
      <c r="X403" s="122">
        <f>IF(U403=0," ",(W403-U403)/U403)</f>
        <v>0</v>
      </c>
      <c r="Z403" s="117">
        <v>2000</v>
      </c>
      <c r="AA403" s="117">
        <v>2000</v>
      </c>
      <c r="AC403" s="259"/>
      <c r="AE403" s="26">
        <v>2000</v>
      </c>
      <c r="AF403" s="200">
        <v>0</v>
      </c>
      <c r="AH403" s="26">
        <v>2000</v>
      </c>
      <c r="AI403" s="244"/>
      <c r="AJ403" s="16">
        <f>AH403+AI403</f>
        <v>2000</v>
      </c>
      <c r="AK403" s="122">
        <f>IF(AH403=0," ",(AJ403-AH403)/AH403)</f>
        <v>0</v>
      </c>
      <c r="AM403" s="117">
        <v>2000</v>
      </c>
      <c r="AN403" s="117">
        <v>2000</v>
      </c>
      <c r="AP403" s="259"/>
      <c r="AR403" s="26">
        <v>2000</v>
      </c>
      <c r="AS403" s="26">
        <v>0</v>
      </c>
      <c r="AU403" s="26">
        <f t="shared" si="211"/>
        <v>2000</v>
      </c>
      <c r="AV403" s="244">
        <v>-2000</v>
      </c>
      <c r="AW403" s="16">
        <f>AU403+AV403</f>
        <v>0</v>
      </c>
      <c r="AX403" s="122">
        <f>IF(AU403=0," ",(AW403-AU403)/AU403)</f>
        <v>-1</v>
      </c>
      <c r="AZ403" s="117">
        <v>0</v>
      </c>
      <c r="BA403" s="117">
        <v>0</v>
      </c>
      <c r="BC403" s="259" t="s">
        <v>1024</v>
      </c>
      <c r="BE403" s="26">
        <v>0</v>
      </c>
      <c r="BF403" s="26"/>
      <c r="BH403" s="26">
        <v>0</v>
      </c>
      <c r="BI403" s="244"/>
      <c r="BJ403" s="16">
        <f t="shared" si="203"/>
        <v>0</v>
      </c>
      <c r="BK403" s="122" t="str">
        <f t="shared" si="209"/>
        <v xml:space="preserve"> </v>
      </c>
      <c r="BM403" s="117">
        <v>0</v>
      </c>
      <c r="BN403" s="117">
        <v>0</v>
      </c>
      <c r="BP403" s="259"/>
      <c r="BR403" s="117">
        <v>0</v>
      </c>
      <c r="BS403" s="26"/>
      <c r="BU403" s="26">
        <v>0</v>
      </c>
      <c r="BV403" s="244"/>
      <c r="BW403" s="576">
        <f t="shared" si="205"/>
        <v>0</v>
      </c>
      <c r="BX403" s="577" t="str">
        <f t="shared" si="212"/>
        <v xml:space="preserve"> </v>
      </c>
      <c r="BZ403" s="166">
        <v>0</v>
      </c>
      <c r="CA403" s="166">
        <v>0</v>
      </c>
      <c r="CC403" s="753"/>
      <c r="CE403" s="166">
        <v>0</v>
      </c>
      <c r="CF403" s="166"/>
      <c r="CJ403" s="886"/>
      <c r="CO403" s="16"/>
    </row>
    <row r="404" spans="1:93" x14ac:dyDescent="0.3">
      <c r="A404" s="11">
        <v>220</v>
      </c>
      <c r="B404" s="3" t="s">
        <v>2</v>
      </c>
      <c r="C404" s="37">
        <v>22005</v>
      </c>
      <c r="D404" s="37">
        <v>55800</v>
      </c>
      <c r="E404" s="49" t="s">
        <v>118</v>
      </c>
      <c r="F404" s="3" t="s">
        <v>2</v>
      </c>
      <c r="G404" s="1" t="s">
        <v>929</v>
      </c>
      <c r="H404" s="26">
        <v>0</v>
      </c>
      <c r="I404" s="244"/>
      <c r="J404" s="16">
        <f t="shared" si="194"/>
        <v>0</v>
      </c>
      <c r="K404" s="122" t="str">
        <f t="shared" si="195"/>
        <v xml:space="preserve"> </v>
      </c>
      <c r="M404" s="117">
        <v>0</v>
      </c>
      <c r="N404" s="117">
        <v>0</v>
      </c>
      <c r="P404" s="259"/>
      <c r="R404" s="26">
        <v>0</v>
      </c>
      <c r="S404" s="26">
        <v>2840.76</v>
      </c>
      <c r="U404" s="26">
        <v>0</v>
      </c>
      <c r="V404" s="244">
        <v>0</v>
      </c>
      <c r="W404" s="16">
        <f t="shared" si="196"/>
        <v>0</v>
      </c>
      <c r="X404" s="122" t="str">
        <f t="shared" si="197"/>
        <v xml:space="preserve"> </v>
      </c>
      <c r="Z404" s="117">
        <v>0</v>
      </c>
      <c r="AA404" s="117">
        <v>0</v>
      </c>
      <c r="AC404" s="259"/>
      <c r="AE404" s="26">
        <v>0</v>
      </c>
      <c r="AF404" s="200"/>
      <c r="AH404" s="26">
        <v>0</v>
      </c>
      <c r="AI404" s="244"/>
      <c r="AJ404" s="16">
        <f t="shared" si="207"/>
        <v>0</v>
      </c>
      <c r="AK404" s="122" t="str">
        <f t="shared" si="208"/>
        <v xml:space="preserve"> </v>
      </c>
      <c r="AM404" s="117">
        <v>0</v>
      </c>
      <c r="AN404" s="117">
        <v>0</v>
      </c>
      <c r="AP404" s="259"/>
      <c r="AR404" s="26">
        <v>0</v>
      </c>
      <c r="AS404" s="26">
        <v>7354.91</v>
      </c>
      <c r="AU404" s="26">
        <f t="shared" si="211"/>
        <v>0</v>
      </c>
      <c r="AV404" s="244">
        <v>8500</v>
      </c>
      <c r="AW404" s="16">
        <f t="shared" si="201"/>
        <v>8500</v>
      </c>
      <c r="AX404" s="122" t="str">
        <f t="shared" si="202"/>
        <v xml:space="preserve"> </v>
      </c>
      <c r="AZ404" s="117">
        <v>8500</v>
      </c>
      <c r="BA404" s="117">
        <v>8500</v>
      </c>
      <c r="BC404" s="259" t="s">
        <v>1024</v>
      </c>
      <c r="BE404" s="26">
        <v>8500</v>
      </c>
      <c r="BF404" s="26">
        <v>8945.36</v>
      </c>
      <c r="BH404" s="26">
        <v>8500</v>
      </c>
      <c r="BI404" s="244"/>
      <c r="BJ404" s="16">
        <f t="shared" si="203"/>
        <v>8500</v>
      </c>
      <c r="BK404" s="122">
        <f t="shared" si="209"/>
        <v>0</v>
      </c>
      <c r="BM404" s="117">
        <v>8500</v>
      </c>
      <c r="BN404" s="117">
        <v>8500</v>
      </c>
      <c r="BP404" s="259"/>
      <c r="BR404" s="117">
        <v>8500</v>
      </c>
      <c r="BS404" s="26">
        <v>62.95</v>
      </c>
      <c r="BU404" s="26">
        <v>8500</v>
      </c>
      <c r="BV404" s="244"/>
      <c r="BW404" s="576">
        <f t="shared" si="205"/>
        <v>8500</v>
      </c>
      <c r="BX404" s="577">
        <f t="shared" si="212"/>
        <v>0</v>
      </c>
      <c r="BZ404" s="166">
        <v>8500</v>
      </c>
      <c r="CA404" s="166">
        <v>8500</v>
      </c>
      <c r="CC404" s="753"/>
      <c r="CE404" s="166">
        <v>8500</v>
      </c>
      <c r="CF404" s="166"/>
      <c r="CJ404" s="886"/>
      <c r="CO404" s="16"/>
    </row>
    <row r="405" spans="1:93" x14ac:dyDescent="0.3">
      <c r="A405" s="11">
        <v>220</v>
      </c>
      <c r="B405" s="3" t="s">
        <v>2</v>
      </c>
      <c r="C405" s="37">
        <v>22005</v>
      </c>
      <c r="D405" s="304">
        <v>55802</v>
      </c>
      <c r="E405" s="49" t="s">
        <v>118</v>
      </c>
      <c r="F405" s="3" t="s">
        <v>2</v>
      </c>
      <c r="G405" s="1" t="s">
        <v>923</v>
      </c>
      <c r="H405" s="26">
        <v>8500</v>
      </c>
      <c r="I405" s="244"/>
      <c r="J405" s="16">
        <f>H405+I405</f>
        <v>8500</v>
      </c>
      <c r="K405" s="122">
        <f>IF(H405=0," ",(J405-H405)/H405)</f>
        <v>0</v>
      </c>
      <c r="M405" s="117">
        <v>8500</v>
      </c>
      <c r="N405" s="117">
        <v>8500</v>
      </c>
      <c r="P405" s="259"/>
      <c r="R405" s="26">
        <v>8500</v>
      </c>
      <c r="S405" s="26">
        <v>838.48</v>
      </c>
      <c r="U405" s="26">
        <v>8500</v>
      </c>
      <c r="V405" s="244">
        <v>0</v>
      </c>
      <c r="W405" s="16">
        <f>U405+V405</f>
        <v>8500</v>
      </c>
      <c r="X405" s="122">
        <f>IF(U405=0," ",(W405-U405)/U405)</f>
        <v>0</v>
      </c>
      <c r="Z405" s="117">
        <v>8500</v>
      </c>
      <c r="AA405" s="117">
        <v>8500</v>
      </c>
      <c r="AC405" s="259"/>
      <c r="AE405" s="26">
        <v>8500</v>
      </c>
      <c r="AF405" s="200">
        <v>0</v>
      </c>
      <c r="AH405" s="26">
        <v>8500</v>
      </c>
      <c r="AI405" s="244"/>
      <c r="AJ405" s="16">
        <f>AH405+AI405</f>
        <v>8500</v>
      </c>
      <c r="AK405" s="122">
        <f>IF(AH405=0," ",(AJ405-AH405)/AH405)</f>
        <v>0</v>
      </c>
      <c r="AM405" s="117">
        <v>8500</v>
      </c>
      <c r="AN405" s="117">
        <v>8500</v>
      </c>
      <c r="AP405" s="259"/>
      <c r="AR405" s="26">
        <v>8500</v>
      </c>
      <c r="AS405" s="26">
        <v>0</v>
      </c>
      <c r="AU405" s="26">
        <f t="shared" si="211"/>
        <v>8500</v>
      </c>
      <c r="AV405" s="244">
        <v>-8500</v>
      </c>
      <c r="AW405" s="16">
        <f>AU405+AV405</f>
        <v>0</v>
      </c>
      <c r="AX405" s="122">
        <f>IF(AU405=0," ",(AW405-AU405)/AU405)</f>
        <v>-1</v>
      </c>
      <c r="AZ405" s="117">
        <v>0</v>
      </c>
      <c r="BA405" s="117">
        <v>0</v>
      </c>
      <c r="BC405" s="259" t="s">
        <v>1024</v>
      </c>
      <c r="BE405" s="26">
        <v>0</v>
      </c>
      <c r="BF405" s="26"/>
      <c r="BH405" s="26">
        <v>0</v>
      </c>
      <c r="BI405" s="244"/>
      <c r="BJ405" s="16">
        <f t="shared" si="203"/>
        <v>0</v>
      </c>
      <c r="BK405" s="122" t="str">
        <f t="shared" si="209"/>
        <v xml:space="preserve"> </v>
      </c>
      <c r="BM405" s="117">
        <v>0</v>
      </c>
      <c r="BN405" s="117">
        <v>0</v>
      </c>
      <c r="BP405" s="259"/>
      <c r="BR405" s="117">
        <v>0</v>
      </c>
      <c r="BS405" s="26"/>
      <c r="BU405" s="26">
        <v>0</v>
      </c>
      <c r="BV405" s="244"/>
      <c r="BW405" s="576">
        <f t="shared" si="205"/>
        <v>0</v>
      </c>
      <c r="BX405" s="577" t="str">
        <f t="shared" si="212"/>
        <v xml:space="preserve"> </v>
      </c>
      <c r="BZ405" s="166">
        <v>0</v>
      </c>
      <c r="CA405" s="166">
        <v>0</v>
      </c>
      <c r="CC405" s="753"/>
      <c r="CE405" s="166">
        <v>0</v>
      </c>
      <c r="CF405" s="166"/>
      <c r="CJ405" s="886"/>
      <c r="CO405" s="16"/>
    </row>
    <row r="406" spans="1:93" x14ac:dyDescent="0.3">
      <c r="A406" s="11">
        <v>220</v>
      </c>
      <c r="B406" s="3" t="s">
        <v>2</v>
      </c>
      <c r="C406" s="37">
        <v>22005</v>
      </c>
      <c r="D406" s="37">
        <v>55810</v>
      </c>
      <c r="E406" s="49" t="s">
        <v>118</v>
      </c>
      <c r="F406" s="3" t="s">
        <v>2</v>
      </c>
      <c r="G406" s="1" t="s">
        <v>1012</v>
      </c>
      <c r="H406" s="26">
        <v>8505</v>
      </c>
      <c r="I406" s="244"/>
      <c r="J406" s="16">
        <f t="shared" si="194"/>
        <v>8505</v>
      </c>
      <c r="K406" s="122">
        <f t="shared" si="195"/>
        <v>0</v>
      </c>
      <c r="M406" s="117">
        <v>8505</v>
      </c>
      <c r="N406" s="117">
        <v>8505</v>
      </c>
      <c r="P406" s="259"/>
      <c r="R406" s="26">
        <v>8505</v>
      </c>
      <c r="S406" s="26">
        <v>17345.919999999998</v>
      </c>
      <c r="U406" s="26">
        <v>8505</v>
      </c>
      <c r="V406" s="244">
        <v>-8505</v>
      </c>
      <c r="W406" s="16">
        <f t="shared" si="196"/>
        <v>0</v>
      </c>
      <c r="X406" s="122">
        <f t="shared" si="197"/>
        <v>-1</v>
      </c>
      <c r="Z406" s="117">
        <v>0</v>
      </c>
      <c r="AA406" s="117">
        <v>0</v>
      </c>
      <c r="AC406" s="259" t="s">
        <v>714</v>
      </c>
      <c r="AE406" s="26">
        <v>0</v>
      </c>
      <c r="AF406" s="200">
        <v>4501.83</v>
      </c>
      <c r="AH406" s="26">
        <v>0</v>
      </c>
      <c r="AI406" s="244"/>
      <c r="AJ406" s="16">
        <f t="shared" si="207"/>
        <v>0</v>
      </c>
      <c r="AK406" s="122" t="str">
        <f t="shared" si="208"/>
        <v xml:space="preserve"> </v>
      </c>
      <c r="AM406" s="117">
        <v>0</v>
      </c>
      <c r="AN406" s="117">
        <v>0</v>
      </c>
      <c r="AP406" s="259"/>
      <c r="AR406" s="26">
        <v>0</v>
      </c>
      <c r="AS406" s="26">
        <v>1486.9</v>
      </c>
      <c r="AU406" s="26">
        <f t="shared" si="211"/>
        <v>0</v>
      </c>
      <c r="AV406" s="244"/>
      <c r="AW406" s="16">
        <f t="shared" si="201"/>
        <v>0</v>
      </c>
      <c r="AX406" s="122" t="str">
        <f t="shared" si="202"/>
        <v xml:space="preserve"> </v>
      </c>
      <c r="AZ406" s="117">
        <v>0</v>
      </c>
      <c r="BA406" s="117">
        <v>0</v>
      </c>
      <c r="BC406" s="266" t="s">
        <v>1011</v>
      </c>
      <c r="BE406" s="26">
        <v>0</v>
      </c>
      <c r="BF406" s="26">
        <v>547.33000000000004</v>
      </c>
      <c r="BH406" s="26">
        <v>0</v>
      </c>
      <c r="BI406" s="244"/>
      <c r="BJ406" s="16">
        <f t="shared" si="203"/>
        <v>0</v>
      </c>
      <c r="BK406" s="122" t="str">
        <f t="shared" si="209"/>
        <v xml:space="preserve"> </v>
      </c>
      <c r="BM406" s="117">
        <v>0</v>
      </c>
      <c r="BN406" s="117">
        <v>0</v>
      </c>
      <c r="BP406" s="259"/>
      <c r="BR406" s="117">
        <v>0</v>
      </c>
      <c r="BS406" s="26"/>
      <c r="BU406" s="26">
        <v>0</v>
      </c>
      <c r="BV406" s="244"/>
      <c r="BW406" s="576">
        <f t="shared" si="205"/>
        <v>0</v>
      </c>
      <c r="BX406" s="577" t="str">
        <f t="shared" si="212"/>
        <v xml:space="preserve"> </v>
      </c>
      <c r="BZ406" s="166">
        <v>0</v>
      </c>
      <c r="CA406" s="166">
        <v>0</v>
      </c>
      <c r="CC406" s="753"/>
      <c r="CE406" s="166">
        <v>0</v>
      </c>
      <c r="CF406" s="166"/>
      <c r="CJ406" s="886"/>
      <c r="CO406" s="16"/>
    </row>
    <row r="407" spans="1:93" x14ac:dyDescent="0.3">
      <c r="A407" s="11">
        <v>220</v>
      </c>
      <c r="B407" s="3" t="s">
        <v>2</v>
      </c>
      <c r="C407" s="37">
        <v>22005</v>
      </c>
      <c r="D407" s="37">
        <v>55850</v>
      </c>
      <c r="E407" s="49" t="s">
        <v>118</v>
      </c>
      <c r="F407" s="3" t="s">
        <v>2</v>
      </c>
      <c r="G407" s="1" t="s">
        <v>81</v>
      </c>
      <c r="H407" s="26">
        <v>100</v>
      </c>
      <c r="I407" s="244"/>
      <c r="J407" s="16">
        <f t="shared" si="194"/>
        <v>100</v>
      </c>
      <c r="K407" s="122">
        <f t="shared" si="195"/>
        <v>0</v>
      </c>
      <c r="M407" s="117">
        <v>100</v>
      </c>
      <c r="N407" s="117">
        <v>100</v>
      </c>
      <c r="P407" s="259"/>
      <c r="R407" s="26">
        <v>100</v>
      </c>
      <c r="S407" s="26">
        <v>91.35</v>
      </c>
      <c r="U407" s="26">
        <v>100</v>
      </c>
      <c r="V407" s="244">
        <v>0</v>
      </c>
      <c r="W407" s="16">
        <f t="shared" si="196"/>
        <v>100</v>
      </c>
      <c r="X407" s="122">
        <f t="shared" si="197"/>
        <v>0</v>
      </c>
      <c r="Z407" s="117">
        <v>100</v>
      </c>
      <c r="AA407" s="117">
        <v>100</v>
      </c>
      <c r="AC407" s="259"/>
      <c r="AE407" s="26">
        <v>100</v>
      </c>
      <c r="AF407" s="200">
        <v>30</v>
      </c>
      <c r="AH407" s="26">
        <v>100</v>
      </c>
      <c r="AI407" s="244"/>
      <c r="AJ407" s="16">
        <f t="shared" si="207"/>
        <v>100</v>
      </c>
      <c r="AK407" s="122">
        <f t="shared" si="208"/>
        <v>0</v>
      </c>
      <c r="AM407" s="117">
        <v>100</v>
      </c>
      <c r="AN407" s="117">
        <v>100</v>
      </c>
      <c r="AP407" s="259"/>
      <c r="AR407" s="26">
        <v>100</v>
      </c>
      <c r="AS407" s="26">
        <v>0</v>
      </c>
      <c r="AU407" s="26">
        <f t="shared" si="211"/>
        <v>100</v>
      </c>
      <c r="AV407" s="244"/>
      <c r="AW407" s="16">
        <f t="shared" si="201"/>
        <v>100</v>
      </c>
      <c r="AX407" s="122">
        <f t="shared" si="202"/>
        <v>0</v>
      </c>
      <c r="AZ407" s="117">
        <v>100</v>
      </c>
      <c r="BA407" s="117">
        <v>100</v>
      </c>
      <c r="BC407" s="259"/>
      <c r="BE407" s="26">
        <v>100</v>
      </c>
      <c r="BF407" s="26">
        <v>10</v>
      </c>
      <c r="BH407" s="26">
        <v>100</v>
      </c>
      <c r="BI407" s="244"/>
      <c r="BJ407" s="16">
        <f t="shared" si="203"/>
        <v>100</v>
      </c>
      <c r="BK407" s="122">
        <f t="shared" si="209"/>
        <v>0</v>
      </c>
      <c r="BM407" s="117">
        <v>100</v>
      </c>
      <c r="BN407" s="117">
        <v>100</v>
      </c>
      <c r="BP407" s="259"/>
      <c r="BR407" s="117">
        <v>100</v>
      </c>
      <c r="BS407" s="26">
        <v>104.93</v>
      </c>
      <c r="BU407" s="26">
        <v>100</v>
      </c>
      <c r="BV407" s="244"/>
      <c r="BW407" s="576">
        <f t="shared" si="205"/>
        <v>100</v>
      </c>
      <c r="BX407" s="577">
        <f t="shared" si="212"/>
        <v>0</v>
      </c>
      <c r="BZ407" s="166">
        <v>100</v>
      </c>
      <c r="CA407" s="166">
        <v>100</v>
      </c>
      <c r="CC407" s="753"/>
      <c r="CE407" s="166">
        <v>100</v>
      </c>
      <c r="CF407" s="166"/>
      <c r="CJ407" s="886"/>
      <c r="CO407" s="16"/>
    </row>
    <row r="408" spans="1:93" x14ac:dyDescent="0.3">
      <c r="A408" s="11">
        <v>220</v>
      </c>
      <c r="B408" s="3" t="s">
        <v>2</v>
      </c>
      <c r="C408" s="37">
        <v>22005</v>
      </c>
      <c r="D408" s="37">
        <v>57100</v>
      </c>
      <c r="E408" s="49" t="s">
        <v>118</v>
      </c>
      <c r="F408" s="3" t="s">
        <v>2</v>
      </c>
      <c r="G408" s="3" t="s">
        <v>637</v>
      </c>
      <c r="H408" s="26">
        <v>100</v>
      </c>
      <c r="I408" s="244"/>
      <c r="J408" s="16">
        <f t="shared" si="194"/>
        <v>100</v>
      </c>
      <c r="K408" s="122">
        <f t="shared" si="195"/>
        <v>0</v>
      </c>
      <c r="M408" s="117">
        <v>100</v>
      </c>
      <c r="N408" s="117">
        <v>100</v>
      </c>
      <c r="P408" s="259"/>
      <c r="R408" s="26">
        <v>100</v>
      </c>
      <c r="S408" s="26">
        <v>485.11</v>
      </c>
      <c r="U408" s="26">
        <v>100</v>
      </c>
      <c r="V408" s="244">
        <v>0</v>
      </c>
      <c r="W408" s="16">
        <f t="shared" si="196"/>
        <v>100</v>
      </c>
      <c r="X408" s="122">
        <f t="shared" si="197"/>
        <v>0</v>
      </c>
      <c r="Z408" s="117">
        <v>100</v>
      </c>
      <c r="AA408" s="117">
        <f>100+2000</f>
        <v>2100</v>
      </c>
      <c r="AC408" s="259" t="s">
        <v>721</v>
      </c>
      <c r="AE408" s="26">
        <f>100+2000</f>
        <v>2100</v>
      </c>
      <c r="AF408" s="200">
        <v>826.5</v>
      </c>
      <c r="AH408" s="26">
        <v>2100</v>
      </c>
      <c r="AI408" s="244"/>
      <c r="AJ408" s="16">
        <f t="shared" si="207"/>
        <v>2100</v>
      </c>
      <c r="AK408" s="122">
        <f t="shared" si="208"/>
        <v>0</v>
      </c>
      <c r="AM408" s="117">
        <v>2100</v>
      </c>
      <c r="AN408" s="117">
        <v>2100</v>
      </c>
      <c r="AO408" s="178"/>
      <c r="AP408" s="266"/>
      <c r="AR408" s="26">
        <v>2100</v>
      </c>
      <c r="AS408" s="26">
        <v>330.74</v>
      </c>
      <c r="AU408" s="26">
        <f t="shared" si="211"/>
        <v>2100</v>
      </c>
      <c r="AV408" s="244"/>
      <c r="AW408" s="16">
        <f t="shared" si="201"/>
        <v>2100</v>
      </c>
      <c r="AX408" s="122">
        <f t="shared" si="202"/>
        <v>0</v>
      </c>
      <c r="AZ408" s="117">
        <v>2100</v>
      </c>
      <c r="BA408" s="117">
        <v>2100</v>
      </c>
      <c r="BB408" s="178"/>
      <c r="BC408" s="266"/>
      <c r="BE408" s="26">
        <v>2100</v>
      </c>
      <c r="BF408" s="26">
        <v>58.7</v>
      </c>
      <c r="BH408" s="26">
        <v>2100</v>
      </c>
      <c r="BI408" s="244"/>
      <c r="BJ408" s="16">
        <f t="shared" si="203"/>
        <v>2100</v>
      </c>
      <c r="BK408" s="122">
        <f t="shared" si="209"/>
        <v>0</v>
      </c>
      <c r="BM408" s="117">
        <v>2100</v>
      </c>
      <c r="BN408" s="117">
        <v>2100</v>
      </c>
      <c r="BO408" s="178"/>
      <c r="BP408" s="259"/>
      <c r="BR408" s="117">
        <v>2100</v>
      </c>
      <c r="BS408" s="26">
        <v>3.15</v>
      </c>
      <c r="BU408" s="26">
        <v>2100</v>
      </c>
      <c r="BV408" s="244"/>
      <c r="BW408" s="576">
        <f t="shared" si="205"/>
        <v>2100</v>
      </c>
      <c r="BX408" s="577">
        <f t="shared" si="212"/>
        <v>0</v>
      </c>
      <c r="BZ408" s="166">
        <v>2100</v>
      </c>
      <c r="CA408" s="166">
        <v>2100</v>
      </c>
      <c r="CC408" s="753"/>
      <c r="CE408" s="166">
        <v>2100</v>
      </c>
      <c r="CF408" s="166"/>
      <c r="CJ408" s="886"/>
      <c r="CO408" s="16"/>
    </row>
    <row r="409" spans="1:93" x14ac:dyDescent="0.3">
      <c r="A409" s="11">
        <v>220</v>
      </c>
      <c r="C409" s="37">
        <v>22005</v>
      </c>
      <c r="D409" s="37">
        <v>57103</v>
      </c>
      <c r="E409" s="49" t="s">
        <v>118</v>
      </c>
      <c r="G409" s="3" t="s">
        <v>775</v>
      </c>
      <c r="H409" s="26"/>
      <c r="I409" s="244"/>
      <c r="M409" s="117"/>
      <c r="N409" s="117"/>
      <c r="P409" s="259"/>
      <c r="R409" s="26"/>
      <c r="S409" s="26">
        <v>100</v>
      </c>
      <c r="U409" s="26"/>
      <c r="V409" s="244"/>
      <c r="Z409" s="117"/>
      <c r="AA409" s="216"/>
      <c r="AB409" s="178"/>
      <c r="AC409" s="266"/>
      <c r="AD409" s="178"/>
      <c r="AE409" s="232"/>
      <c r="AF409" s="278"/>
      <c r="AH409" s="232"/>
      <c r="AI409" s="244"/>
      <c r="AM409" s="117"/>
      <c r="AN409" s="117"/>
      <c r="AO409" s="178"/>
      <c r="AP409" s="266"/>
      <c r="AR409" s="26"/>
      <c r="AS409" s="26">
        <v>0</v>
      </c>
      <c r="AU409" s="26">
        <f t="shared" si="211"/>
        <v>0</v>
      </c>
      <c r="AV409" s="244"/>
      <c r="AW409" s="16">
        <f t="shared" si="201"/>
        <v>0</v>
      </c>
      <c r="AZ409" s="117">
        <v>0</v>
      </c>
      <c r="BA409" s="117">
        <v>0</v>
      </c>
      <c r="BB409" s="178"/>
      <c r="BC409" s="266"/>
      <c r="BD409" s="178"/>
      <c r="BE409" s="26">
        <v>0</v>
      </c>
      <c r="BF409" s="26">
        <v>40</v>
      </c>
      <c r="BG409" s="309"/>
      <c r="BH409" s="26">
        <v>0</v>
      </c>
      <c r="BI409" s="244"/>
      <c r="BJ409" s="16">
        <f t="shared" si="203"/>
        <v>0</v>
      </c>
      <c r="BM409" s="117">
        <v>0</v>
      </c>
      <c r="BN409" s="117">
        <v>0</v>
      </c>
      <c r="BO409" s="178"/>
      <c r="BP409" s="259"/>
      <c r="BR409" s="117">
        <v>0</v>
      </c>
      <c r="BS409" s="232"/>
      <c r="BT409" s="309"/>
      <c r="BU409" s="26">
        <v>0</v>
      </c>
      <c r="BV409" s="244"/>
      <c r="BW409" s="576">
        <f t="shared" si="205"/>
        <v>0</v>
      </c>
      <c r="BZ409" s="166">
        <v>0</v>
      </c>
      <c r="CA409" s="166">
        <v>0</v>
      </c>
      <c r="CC409" s="753"/>
      <c r="CE409" s="166">
        <v>0</v>
      </c>
      <c r="CF409" s="166"/>
      <c r="CG409" s="309"/>
      <c r="CJ409" s="886"/>
      <c r="CO409" s="16"/>
    </row>
    <row r="410" spans="1:93" x14ac:dyDescent="0.3">
      <c r="A410" s="11">
        <v>220</v>
      </c>
      <c r="B410" s="3" t="s">
        <v>2</v>
      </c>
      <c r="C410" s="37">
        <v>22005</v>
      </c>
      <c r="D410" s="37">
        <v>57300</v>
      </c>
      <c r="E410" s="49" t="s">
        <v>118</v>
      </c>
      <c r="F410" s="3" t="s">
        <v>2</v>
      </c>
      <c r="G410" s="3" t="s">
        <v>82</v>
      </c>
      <c r="H410" s="26">
        <v>5100</v>
      </c>
      <c r="I410" s="244"/>
      <c r="J410" s="16">
        <f t="shared" si="194"/>
        <v>5100</v>
      </c>
      <c r="K410" s="122">
        <f t="shared" si="195"/>
        <v>0</v>
      </c>
      <c r="M410" s="117">
        <v>5100</v>
      </c>
      <c r="N410" s="117">
        <v>5100</v>
      </c>
      <c r="P410" s="259"/>
      <c r="R410" s="26">
        <v>5100</v>
      </c>
      <c r="S410" s="26">
        <v>4155</v>
      </c>
      <c r="U410" s="26">
        <v>5100</v>
      </c>
      <c r="V410" s="244">
        <v>0</v>
      </c>
      <c r="W410" s="16">
        <f t="shared" si="196"/>
        <v>5100</v>
      </c>
      <c r="X410" s="122">
        <f t="shared" si="197"/>
        <v>0</v>
      </c>
      <c r="Z410" s="117">
        <v>5100</v>
      </c>
      <c r="AA410" s="117">
        <v>5100</v>
      </c>
      <c r="AC410" s="259"/>
      <c r="AE410" s="26">
        <v>5100</v>
      </c>
      <c r="AF410" s="200">
        <v>2502.9299999999998</v>
      </c>
      <c r="AH410" s="26">
        <v>5100</v>
      </c>
      <c r="AI410" s="244"/>
      <c r="AJ410" s="16">
        <f>AH410+AI410</f>
        <v>5100</v>
      </c>
      <c r="AK410" s="122">
        <f>IF(AH410=0," ",(AJ410-AH410)/AH410)</f>
        <v>0</v>
      </c>
      <c r="AM410" s="117">
        <v>5100</v>
      </c>
      <c r="AN410" s="117">
        <v>5100</v>
      </c>
      <c r="AP410" s="259"/>
      <c r="AR410" s="26">
        <v>5100</v>
      </c>
      <c r="AS410" s="26">
        <v>2597.5</v>
      </c>
      <c r="AU410" s="26">
        <f t="shared" si="211"/>
        <v>5100</v>
      </c>
      <c r="AV410" s="244"/>
      <c r="AW410" s="16">
        <f t="shared" si="201"/>
        <v>5100</v>
      </c>
      <c r="AX410" s="122">
        <f t="shared" si="202"/>
        <v>0</v>
      </c>
      <c r="AZ410" s="117">
        <v>5100</v>
      </c>
      <c r="BA410" s="117">
        <v>5100</v>
      </c>
      <c r="BC410" s="259"/>
      <c r="BE410" s="26">
        <v>5100</v>
      </c>
      <c r="BF410" s="26">
        <v>2597.5</v>
      </c>
      <c r="BH410" s="26">
        <v>5100</v>
      </c>
      <c r="BI410" s="244"/>
      <c r="BJ410" s="16">
        <f t="shared" si="203"/>
        <v>5100</v>
      </c>
      <c r="BK410" s="122">
        <f>IF(BH410=0," ",(BJ410-BH410)/BH410)</f>
        <v>0</v>
      </c>
      <c r="BM410" s="117">
        <v>5100</v>
      </c>
      <c r="BN410" s="117">
        <v>5100</v>
      </c>
      <c r="BP410" s="259"/>
      <c r="BR410" s="117">
        <v>5100</v>
      </c>
      <c r="BS410" s="26">
        <v>3097.5</v>
      </c>
      <c r="BU410" s="26">
        <v>5100</v>
      </c>
      <c r="BV410" s="244"/>
      <c r="BW410" s="576">
        <f t="shared" si="205"/>
        <v>5100</v>
      </c>
      <c r="BX410" s="577">
        <f>IF(BU410=0," ",(BW410-BU410)/BU410)</f>
        <v>0</v>
      </c>
      <c r="BZ410" s="166">
        <v>5100</v>
      </c>
      <c r="CA410" s="166">
        <v>5100</v>
      </c>
      <c r="CC410" s="753"/>
      <c r="CE410" s="166">
        <v>5100</v>
      </c>
      <c r="CF410" s="166"/>
      <c r="CJ410" s="886"/>
      <c r="CO410" s="16"/>
    </row>
    <row r="411" spans="1:93" x14ac:dyDescent="0.3">
      <c r="A411" s="11">
        <v>220</v>
      </c>
      <c r="B411" s="3" t="s">
        <v>2</v>
      </c>
      <c r="C411" s="37">
        <v>22005</v>
      </c>
      <c r="D411" s="37">
        <v>57800</v>
      </c>
      <c r="E411" s="49" t="s">
        <v>118</v>
      </c>
      <c r="F411" s="3" t="s">
        <v>2</v>
      </c>
      <c r="G411" s="3" t="s">
        <v>83</v>
      </c>
      <c r="H411" s="26">
        <v>100</v>
      </c>
      <c r="I411" s="244"/>
      <c r="J411" s="16">
        <f t="shared" si="194"/>
        <v>100</v>
      </c>
      <c r="K411" s="122">
        <f t="shared" si="195"/>
        <v>0</v>
      </c>
      <c r="M411" s="117">
        <v>100</v>
      </c>
      <c r="N411" s="117">
        <v>100</v>
      </c>
      <c r="P411" s="259"/>
      <c r="R411" s="26">
        <v>100</v>
      </c>
      <c r="S411" s="26">
        <v>3.61</v>
      </c>
      <c r="U411" s="26">
        <v>100</v>
      </c>
      <c r="V411" s="244">
        <v>0</v>
      </c>
      <c r="W411" s="16">
        <f t="shared" si="196"/>
        <v>100</v>
      </c>
      <c r="X411" s="122">
        <f t="shared" si="197"/>
        <v>0</v>
      </c>
      <c r="Z411" s="117">
        <v>100</v>
      </c>
      <c r="AA411" s="117">
        <v>100</v>
      </c>
      <c r="AC411" s="259"/>
      <c r="AE411" s="26">
        <v>100</v>
      </c>
      <c r="AF411" s="200">
        <v>207.23</v>
      </c>
      <c r="AH411" s="26">
        <v>100</v>
      </c>
      <c r="AI411" s="244"/>
      <c r="AJ411" s="16">
        <f>AH411+AI411</f>
        <v>100</v>
      </c>
      <c r="AK411" s="122">
        <f>IF(AH411=0," ",(AJ411-AH411)/AH411)</f>
        <v>0</v>
      </c>
      <c r="AM411" s="117">
        <v>100</v>
      </c>
      <c r="AN411" s="117">
        <v>100</v>
      </c>
      <c r="AP411" s="259"/>
      <c r="AR411" s="26">
        <v>100</v>
      </c>
      <c r="AS411" s="26">
        <v>0</v>
      </c>
      <c r="AU411" s="26">
        <f t="shared" si="211"/>
        <v>100</v>
      </c>
      <c r="AV411" s="244"/>
      <c r="AW411" s="16">
        <f t="shared" si="201"/>
        <v>100</v>
      </c>
      <c r="AX411" s="122">
        <f t="shared" si="202"/>
        <v>0</v>
      </c>
      <c r="AZ411" s="117">
        <v>100</v>
      </c>
      <c r="BA411" s="117">
        <v>100</v>
      </c>
      <c r="BC411" s="259"/>
      <c r="BE411" s="26">
        <v>100</v>
      </c>
      <c r="BF411" s="26">
        <v>0</v>
      </c>
      <c r="BH411" s="26">
        <v>100</v>
      </c>
      <c r="BI411" s="244"/>
      <c r="BJ411" s="16">
        <f t="shared" si="203"/>
        <v>100</v>
      </c>
      <c r="BK411" s="122">
        <f>IF(BH411=0," ",(BJ411-BH411)/BH411)</f>
        <v>0</v>
      </c>
      <c r="BM411" s="117">
        <v>100</v>
      </c>
      <c r="BN411" s="117">
        <v>100</v>
      </c>
      <c r="BP411" s="259"/>
      <c r="BR411" s="117">
        <v>100</v>
      </c>
      <c r="BS411" s="26"/>
      <c r="BU411" s="26">
        <v>100</v>
      </c>
      <c r="BV411" s="244"/>
      <c r="BW411" s="576">
        <f t="shared" si="205"/>
        <v>100</v>
      </c>
      <c r="BX411" s="577">
        <f>IF(BU411=0," ",(BW411-BU411)/BU411)</f>
        <v>0</v>
      </c>
      <c r="BZ411" s="166">
        <v>100</v>
      </c>
      <c r="CA411" s="166">
        <v>100</v>
      </c>
      <c r="CC411" s="753"/>
      <c r="CE411" s="166">
        <v>100</v>
      </c>
      <c r="CF411" s="166"/>
      <c r="CJ411" s="886"/>
      <c r="CO411" s="16"/>
    </row>
    <row r="412" spans="1:93" x14ac:dyDescent="0.3">
      <c r="A412" s="11">
        <v>220</v>
      </c>
      <c r="B412" s="3" t="s">
        <v>2</v>
      </c>
      <c r="C412" s="37">
        <v>22005</v>
      </c>
      <c r="D412" s="37">
        <v>58530</v>
      </c>
      <c r="E412" s="49" t="s">
        <v>118</v>
      </c>
      <c r="F412" s="3" t="s">
        <v>2</v>
      </c>
      <c r="G412" s="3" t="s">
        <v>924</v>
      </c>
      <c r="H412" s="26"/>
      <c r="I412" s="244"/>
      <c r="M412" s="117"/>
      <c r="N412" s="117"/>
      <c r="P412" s="259"/>
      <c r="R412" s="26"/>
      <c r="S412" s="26"/>
      <c r="U412" s="26"/>
      <c r="V412" s="244"/>
      <c r="Z412" s="117"/>
      <c r="AA412" s="117"/>
      <c r="AC412" s="259"/>
      <c r="AE412" s="26"/>
      <c r="AF412" s="200">
        <v>20000</v>
      </c>
      <c r="AH412" s="26"/>
      <c r="AI412" s="244"/>
      <c r="AM412" s="117"/>
      <c r="AN412" s="117"/>
      <c r="AP412" s="259"/>
      <c r="AR412" s="26"/>
      <c r="AS412" s="26">
        <v>0</v>
      </c>
      <c r="AU412" s="26">
        <f t="shared" si="211"/>
        <v>0</v>
      </c>
      <c r="AV412" s="244"/>
      <c r="AW412" s="16">
        <f t="shared" si="201"/>
        <v>0</v>
      </c>
      <c r="AZ412" s="117">
        <v>0</v>
      </c>
      <c r="BA412" s="117">
        <v>0</v>
      </c>
      <c r="BC412" s="259"/>
      <c r="BE412" s="26">
        <v>0</v>
      </c>
      <c r="BF412" s="26">
        <v>1753.89</v>
      </c>
      <c r="BH412" s="26">
        <v>0</v>
      </c>
      <c r="BI412" s="244"/>
      <c r="BJ412" s="16">
        <f t="shared" si="203"/>
        <v>0</v>
      </c>
      <c r="BM412" s="117">
        <v>0</v>
      </c>
      <c r="BN412" s="117">
        <v>10000</v>
      </c>
      <c r="BP412" s="266" t="s">
        <v>1198</v>
      </c>
      <c r="BR412" s="117">
        <v>10000</v>
      </c>
      <c r="BS412" s="26"/>
      <c r="BU412" s="26">
        <v>10000</v>
      </c>
      <c r="BV412" s="244"/>
      <c r="BW412" s="576">
        <f t="shared" si="205"/>
        <v>10000</v>
      </c>
      <c r="BZ412" s="166">
        <v>10000</v>
      </c>
      <c r="CA412" s="166">
        <v>10000</v>
      </c>
      <c r="CC412" s="753"/>
      <c r="CE412" s="166">
        <v>10000</v>
      </c>
      <c r="CF412" s="166"/>
      <c r="CJ412" s="886"/>
      <c r="CO412" s="16"/>
    </row>
    <row r="413" spans="1:93" x14ac:dyDescent="0.3">
      <c r="A413" s="11">
        <v>220</v>
      </c>
      <c r="B413" s="3" t="s">
        <v>2</v>
      </c>
      <c r="C413" s="37">
        <v>22005</v>
      </c>
      <c r="D413" s="37">
        <v>58544</v>
      </c>
      <c r="E413" s="49" t="s">
        <v>118</v>
      </c>
      <c r="F413" s="3" t="s">
        <v>2</v>
      </c>
      <c r="G413" s="3" t="s">
        <v>925</v>
      </c>
      <c r="H413" s="26"/>
      <c r="I413" s="244"/>
      <c r="M413" s="117"/>
      <c r="N413" s="117"/>
      <c r="P413" s="259"/>
      <c r="R413" s="26"/>
      <c r="S413" s="26"/>
      <c r="U413" s="26"/>
      <c r="V413" s="244"/>
      <c r="Z413" s="117"/>
      <c r="AA413" s="117"/>
      <c r="AC413" s="259"/>
      <c r="AE413" s="26"/>
      <c r="AF413" s="200">
        <v>25999.48</v>
      </c>
      <c r="AH413" s="26"/>
      <c r="AI413" s="244"/>
      <c r="AJ413" s="16">
        <f>AH413+AI413</f>
        <v>0</v>
      </c>
      <c r="AK413" s="122" t="str">
        <f>IF(AH413=0," ",(AJ413-AH413)/AH413)</f>
        <v xml:space="preserve"> </v>
      </c>
      <c r="AM413" s="117"/>
      <c r="AN413" s="117"/>
      <c r="AP413" s="259"/>
      <c r="AR413" s="26"/>
      <c r="AS413" s="26">
        <v>0</v>
      </c>
      <c r="AU413" s="26">
        <f t="shared" si="211"/>
        <v>0</v>
      </c>
      <c r="AV413" s="244"/>
      <c r="AW413" s="16">
        <f t="shared" si="201"/>
        <v>0</v>
      </c>
      <c r="AZ413" s="117">
        <v>0</v>
      </c>
      <c r="BA413" s="117">
        <v>0</v>
      </c>
      <c r="BC413" s="259"/>
      <c r="BE413" s="26">
        <v>0</v>
      </c>
      <c r="BF413" s="26"/>
      <c r="BH413" s="26">
        <v>0</v>
      </c>
      <c r="BI413" s="244"/>
      <c r="BJ413" s="16">
        <f t="shared" si="203"/>
        <v>0</v>
      </c>
      <c r="BM413" s="117">
        <v>0</v>
      </c>
      <c r="BN413" s="117">
        <v>0</v>
      </c>
      <c r="BP413" s="259"/>
      <c r="BR413" s="117">
        <v>0</v>
      </c>
      <c r="BS413" s="26"/>
      <c r="BU413" s="26">
        <v>0</v>
      </c>
      <c r="BV413" s="244"/>
      <c r="BW413" s="576">
        <f t="shared" si="205"/>
        <v>0</v>
      </c>
      <c r="BZ413" s="166">
        <v>0</v>
      </c>
      <c r="CA413" s="166">
        <v>0</v>
      </c>
      <c r="CC413" s="753"/>
      <c r="CE413" s="166">
        <v>0</v>
      </c>
      <c r="CF413" s="166"/>
      <c r="CJ413" s="886"/>
      <c r="CO413" s="16"/>
    </row>
    <row r="414" spans="1:93" s="19" customFormat="1" x14ac:dyDescent="0.3">
      <c r="A414" s="27"/>
      <c r="B414" s="8"/>
      <c r="C414" s="42"/>
      <c r="D414" s="42"/>
      <c r="E414" s="54"/>
      <c r="F414" s="8"/>
      <c r="G414" s="8" t="s">
        <v>165</v>
      </c>
      <c r="H414" s="28">
        <f>SUM(H377:H413)</f>
        <v>109180</v>
      </c>
      <c r="I414" s="28">
        <f>SUM(I377:I413)</f>
        <v>2183</v>
      </c>
      <c r="J414" s="28">
        <f>SUM(J377:J413)</f>
        <v>111363</v>
      </c>
      <c r="K414" s="123">
        <f>IF(H414=0," ",(J414-H414)/H414)</f>
        <v>1.9994504488001465E-2</v>
      </c>
      <c r="M414" s="28">
        <f>SUM(M377:M413)</f>
        <v>111363</v>
      </c>
      <c r="N414" s="28">
        <f>SUM(N377:N413)</f>
        <v>111363</v>
      </c>
      <c r="P414" s="139">
        <f>SUM(P377:P413)</f>
        <v>0</v>
      </c>
      <c r="R414" s="28">
        <f>SUM(R377:R413)</f>
        <v>111363</v>
      </c>
      <c r="S414" s="28">
        <f>SUM(S377:S413)</f>
        <v>110768.49999999999</v>
      </c>
      <c r="U414" s="28">
        <f>SUM(U377:U413)</f>
        <v>111363</v>
      </c>
      <c r="V414" s="28">
        <f>SUM(V377:V413)</f>
        <v>-8505</v>
      </c>
      <c r="W414" s="28">
        <f>SUM(W377:W413)</f>
        <v>102858</v>
      </c>
      <c r="X414" s="123">
        <f>IF(U414=0," ",(W414-U414)/U414)</f>
        <v>-7.6371864982085619E-2</v>
      </c>
      <c r="Z414" s="28">
        <f>SUM(Z377:Z413)</f>
        <v>102858</v>
      </c>
      <c r="AA414" s="28">
        <f>SUM(AA377:AA413)</f>
        <v>109858</v>
      </c>
      <c r="AC414" s="139"/>
      <c r="AE414" s="28">
        <f>SUM(AE377:AE413)</f>
        <v>109858</v>
      </c>
      <c r="AF414" s="201">
        <f>SUM(AF377:AF413)</f>
        <v>153433.96999999997</v>
      </c>
      <c r="AH414" s="28">
        <f>SUM(AH377:AH413)</f>
        <v>109858</v>
      </c>
      <c r="AI414" s="28">
        <f>SUM(AI377:AI413)</f>
        <v>0</v>
      </c>
      <c r="AJ414" s="28">
        <f>SUM(AJ377:AJ413)</f>
        <v>109858</v>
      </c>
      <c r="AK414" s="123">
        <f>IF(AH414=0," ",(AJ414-AH414)/AH414)</f>
        <v>0</v>
      </c>
      <c r="AM414" s="28">
        <f>SUM(AM377:AM413)</f>
        <v>123558</v>
      </c>
      <c r="AN414" s="28">
        <f>SUM(AN377:AN413)</f>
        <v>123558</v>
      </c>
      <c r="AP414" s="139"/>
      <c r="AR414" s="28">
        <f>SUM(AR377:AR413)</f>
        <v>123558</v>
      </c>
      <c r="AS414" s="28">
        <f>SUM(AS377:AS413)</f>
        <v>108484.21000000002</v>
      </c>
      <c r="AU414" s="28">
        <f>SUM(AU377:AU413)</f>
        <v>123558</v>
      </c>
      <c r="AV414" s="28">
        <f>SUM(AV377:AV413)</f>
        <v>0</v>
      </c>
      <c r="AW414" s="28">
        <f>SUM(AW377:AW413)</f>
        <v>123558</v>
      </c>
      <c r="AX414" s="123">
        <f>IF(AU414=0," ",(AW414-AU414)/AU414)</f>
        <v>0</v>
      </c>
      <c r="AZ414" s="28">
        <f>SUM(AZ377:AZ413)</f>
        <v>123558</v>
      </c>
      <c r="BA414" s="28">
        <f>SUM(BA377:BA413)</f>
        <v>130058</v>
      </c>
      <c r="BC414" s="139"/>
      <c r="BE414" s="28">
        <f>SUM(BE377:BE413)</f>
        <v>130058</v>
      </c>
      <c r="BF414" s="28">
        <f>SUM(BF377:BF413)</f>
        <v>119775.90000000001</v>
      </c>
      <c r="BG414" s="9"/>
      <c r="BH414" s="28">
        <f>SUM(BH377:BH413)</f>
        <v>130058</v>
      </c>
      <c r="BI414" s="28">
        <f>SUM(BI377:BI413)</f>
        <v>0</v>
      </c>
      <c r="BJ414" s="28">
        <f>SUM(BJ377:BJ413)</f>
        <v>130058</v>
      </c>
      <c r="BK414" s="123">
        <f>IF(BH414=0," ",(BJ414-BH414)/BH414)</f>
        <v>0</v>
      </c>
      <c r="BM414" s="28">
        <f>SUM(BM377:BM413)</f>
        <v>130058</v>
      </c>
      <c r="BN414" s="28">
        <f>SUM(BN377:BN413)</f>
        <v>142183</v>
      </c>
      <c r="BP414" s="139"/>
      <c r="BR414" s="28">
        <f>SUM(BR377:BR413)</f>
        <v>142183</v>
      </c>
      <c r="BS414" s="28">
        <f>SUM(BS377:BS413)</f>
        <v>25753.840000000004</v>
      </c>
      <c r="BT414" s="9"/>
      <c r="BU414" s="28">
        <f>SUM(BU377:BU413)</f>
        <v>142183</v>
      </c>
      <c r="BV414" s="532">
        <f>SUM(BV377:BV413)</f>
        <v>0</v>
      </c>
      <c r="BW414" s="591">
        <f>SUM(BW377:BW413)</f>
        <v>142183</v>
      </c>
      <c r="BX414" s="579">
        <f>IF(BU414=0," ",(BW414-BU414)/BU414)</f>
        <v>0</v>
      </c>
      <c r="BY414" s="580"/>
      <c r="BZ414" s="591">
        <f>SUM(BZ377:BZ413)</f>
        <v>142183</v>
      </c>
      <c r="CA414" s="591">
        <f>SUM(CA377:CA413)</f>
        <v>156283</v>
      </c>
      <c r="CB414" s="580"/>
      <c r="CC414" s="769"/>
      <c r="CD414" s="580"/>
      <c r="CE414" s="591">
        <f>SUM(CE377:CE413)</f>
        <v>156283</v>
      </c>
      <c r="CF414" s="591">
        <f>SUM(CF377:CF413)</f>
        <v>0</v>
      </c>
      <c r="CG414" s="9"/>
      <c r="CH414" s="815"/>
      <c r="CI414" s="815"/>
      <c r="CJ414" s="886"/>
      <c r="CO414" s="16"/>
    </row>
    <row r="415" spans="1:93" ht="9.9" customHeight="1" x14ac:dyDescent="0.3">
      <c r="AS415" s="16"/>
      <c r="CO415" s="16"/>
    </row>
    <row r="416" spans="1:93" s="1" customFormat="1" x14ac:dyDescent="0.3">
      <c r="A416" s="20"/>
      <c r="B416" s="5"/>
      <c r="C416" s="39"/>
      <c r="D416" s="39"/>
      <c r="E416" s="51"/>
      <c r="F416" s="5"/>
      <c r="G416" s="21" t="s">
        <v>166</v>
      </c>
      <c r="H416" s="22">
        <f>H375+H414</f>
        <v>757223</v>
      </c>
      <c r="I416" s="22">
        <f>I375+I414</f>
        <v>-346</v>
      </c>
      <c r="J416" s="22">
        <f>J375+J414</f>
        <v>756877</v>
      </c>
      <c r="K416" s="124">
        <f>IF(H416=0," ",(J416-H416)/H416)</f>
        <v>-4.5693276617324091E-4</v>
      </c>
      <c r="M416" s="22">
        <f>M375+M414</f>
        <v>756877</v>
      </c>
      <c r="N416" s="22">
        <f>N375+N414</f>
        <v>767042</v>
      </c>
      <c r="P416" s="136">
        <f>P375+P414</f>
        <v>0</v>
      </c>
      <c r="R416" s="22">
        <f>R375+R414</f>
        <v>767042</v>
      </c>
      <c r="S416" s="22">
        <f>S375+S414</f>
        <v>697261.25</v>
      </c>
      <c r="U416" s="22">
        <f>U375+U414</f>
        <v>767042</v>
      </c>
      <c r="V416" s="22">
        <f>V375+V414</f>
        <v>-5271</v>
      </c>
      <c r="W416" s="22">
        <f>W375+W414</f>
        <v>761771</v>
      </c>
      <c r="X416" s="124">
        <f>IF(U416=0," ",(W416-U416)/U416)</f>
        <v>-6.8718531710128001E-3</v>
      </c>
      <c r="Z416" s="22">
        <f>Z375+Z414</f>
        <v>761771</v>
      </c>
      <c r="AA416" s="22">
        <f>AA375+AA414</f>
        <v>843055</v>
      </c>
      <c r="AC416" s="220"/>
      <c r="AE416" s="22">
        <f>AE375+AE414</f>
        <v>843055</v>
      </c>
      <c r="AF416" s="199">
        <f>AF375+AF414</f>
        <v>783543.47</v>
      </c>
      <c r="AH416" s="22">
        <v>843055</v>
      </c>
      <c r="AI416" s="22">
        <f>AI375+AI414</f>
        <v>14662</v>
      </c>
      <c r="AJ416" s="22">
        <f>AJ375+AJ414</f>
        <v>857717</v>
      </c>
      <c r="AK416" s="124">
        <f>IF(AH416=0," ",(AJ416-AH416)/AH416)</f>
        <v>1.7391510636909809E-2</v>
      </c>
      <c r="AM416" s="22">
        <f>AM375+AM414</f>
        <v>915417</v>
      </c>
      <c r="AN416" s="22">
        <f>AN375+AN414</f>
        <v>915417</v>
      </c>
      <c r="AP416" s="220"/>
      <c r="AR416" s="22">
        <f>AR375+AR414</f>
        <v>915417</v>
      </c>
      <c r="AS416" s="22">
        <f>AS375+AS414</f>
        <v>857143</v>
      </c>
      <c r="AU416" s="22">
        <f>AU375+AU414</f>
        <v>915417</v>
      </c>
      <c r="AV416" s="22">
        <f>AV375+AV414</f>
        <v>3900</v>
      </c>
      <c r="AW416" s="22">
        <f>AW375+AW414</f>
        <v>919317</v>
      </c>
      <c r="AX416" s="124">
        <f>IF(AU416=0," ",(AW416-AU416)/AU416)</f>
        <v>4.2603534782508952E-3</v>
      </c>
      <c r="AZ416" s="22">
        <f>AZ375+AZ414</f>
        <v>921291</v>
      </c>
      <c r="BA416" s="22">
        <f>BA375+BA414</f>
        <v>989463</v>
      </c>
      <c r="BC416" s="220"/>
      <c r="BE416" s="22">
        <f>BE375+BE414</f>
        <v>989463</v>
      </c>
      <c r="BF416" s="22">
        <f>BF375+BF414</f>
        <v>1000100.2400000001</v>
      </c>
      <c r="BH416" s="22">
        <f>BH375+BH414</f>
        <v>989463</v>
      </c>
      <c r="BI416" s="22">
        <f>BI375+BI414</f>
        <v>13529</v>
      </c>
      <c r="BJ416" s="22">
        <f>BJ375+BJ414</f>
        <v>1002992</v>
      </c>
      <c r="BK416" s="124">
        <f>IF(BH416=0," ",(BJ416-BH416)/BH416)</f>
        <v>1.3673073172013507E-2</v>
      </c>
      <c r="BM416" s="22">
        <f>BM375+BM414</f>
        <v>1002992</v>
      </c>
      <c r="BN416" s="22">
        <f>BN375+BN414</f>
        <v>1043617</v>
      </c>
      <c r="BP416" s="220"/>
      <c r="BR416" s="22">
        <f>BR375+BR414</f>
        <v>1043617</v>
      </c>
      <c r="BS416" s="22">
        <f>BS375+BS414</f>
        <v>429047.94000000006</v>
      </c>
      <c r="BU416" s="22">
        <f>BU375+BU414</f>
        <v>1043617</v>
      </c>
      <c r="BV416" s="531">
        <f>BV375+BV414</f>
        <v>25513</v>
      </c>
      <c r="BW416" s="581">
        <f>BW375+BW414</f>
        <v>1069130</v>
      </c>
      <c r="BX416" s="582">
        <f>IF(BU416=0," ",(BW416-BU416)/BU416)</f>
        <v>2.4446707939790171E-2</v>
      </c>
      <c r="BY416" s="573"/>
      <c r="BZ416" s="581">
        <f>BZ375+BZ414</f>
        <v>1069130</v>
      </c>
      <c r="CA416" s="581">
        <f>CA375+CA414</f>
        <v>1206577</v>
      </c>
      <c r="CB416" s="573"/>
      <c r="CC416" s="764"/>
      <c r="CD416" s="573"/>
      <c r="CE416" s="581">
        <f>CE375+CE414</f>
        <v>1206577</v>
      </c>
      <c r="CF416" s="581">
        <f>CF375+CF414</f>
        <v>0</v>
      </c>
      <c r="CH416" s="812"/>
      <c r="CI416" s="914">
        <v>1069130</v>
      </c>
      <c r="CJ416" s="894">
        <v>44634</v>
      </c>
      <c r="CK416" s="555" t="s">
        <v>1624</v>
      </c>
      <c r="CL416" s="555" t="s">
        <v>1620</v>
      </c>
      <c r="CM416" s="1" t="s">
        <v>1621</v>
      </c>
      <c r="CO416" s="16"/>
    </row>
    <row r="417" spans="1:93" ht="20.100000000000001" customHeight="1" x14ac:dyDescent="0.3">
      <c r="AS417" s="16"/>
      <c r="CO417" s="16"/>
    </row>
    <row r="418" spans="1:93" s="1" customFormat="1" ht="15.6" x14ac:dyDescent="0.3">
      <c r="A418" s="14" t="s">
        <v>174</v>
      </c>
      <c r="B418" s="2"/>
      <c r="C418" s="36"/>
      <c r="D418" s="36"/>
      <c r="E418" s="48"/>
      <c r="F418" s="2"/>
      <c r="G418" s="2"/>
      <c r="H418" s="15"/>
      <c r="I418" s="15"/>
      <c r="J418" s="15"/>
      <c r="K418" s="121"/>
      <c r="M418" s="15"/>
      <c r="N418" s="15"/>
      <c r="P418" s="133"/>
      <c r="R418" s="15"/>
      <c r="S418" s="15"/>
      <c r="U418" s="15"/>
      <c r="V418" s="15"/>
      <c r="W418" s="15"/>
      <c r="X418" s="121"/>
      <c r="Z418" s="15"/>
      <c r="AA418" s="15"/>
      <c r="AC418" s="133"/>
      <c r="AE418" s="15"/>
      <c r="AF418" s="196"/>
      <c r="AH418" s="15"/>
      <c r="AI418" s="15"/>
      <c r="AJ418" s="15"/>
      <c r="AK418" s="121"/>
      <c r="AM418" s="15"/>
      <c r="AN418" s="15"/>
      <c r="AP418" s="133"/>
      <c r="AR418" s="15"/>
      <c r="AS418" s="15"/>
      <c r="AU418" s="15"/>
      <c r="AV418" s="15"/>
      <c r="AW418" s="15"/>
      <c r="AX418" s="121"/>
      <c r="AZ418" s="15"/>
      <c r="BA418" s="15"/>
      <c r="BC418" s="133"/>
      <c r="BE418" s="15"/>
      <c r="BF418" s="15"/>
      <c r="BH418" s="15"/>
      <c r="BI418" s="15"/>
      <c r="BJ418" s="15"/>
      <c r="BK418" s="121"/>
      <c r="BM418" s="15"/>
      <c r="BN418" s="15"/>
      <c r="BP418" s="234"/>
      <c r="BR418" s="15"/>
      <c r="BS418" s="15"/>
      <c r="BU418" s="15"/>
      <c r="BV418" s="529"/>
      <c r="BW418" s="574"/>
      <c r="BX418" s="575"/>
      <c r="BY418" s="573"/>
      <c r="BZ418" s="574"/>
      <c r="CA418" s="574"/>
      <c r="CB418" s="573"/>
      <c r="CC418" s="761"/>
      <c r="CD418" s="573"/>
      <c r="CE418" s="574"/>
      <c r="CF418" s="574"/>
      <c r="CH418" s="812"/>
      <c r="CI418" s="812"/>
      <c r="CJ418" s="886"/>
      <c r="CO418" s="16"/>
    </row>
    <row r="419" spans="1:93" x14ac:dyDescent="0.3">
      <c r="A419" s="11">
        <v>241</v>
      </c>
      <c r="B419" s="3" t="s">
        <v>2</v>
      </c>
      <c r="C419" s="37">
        <v>24101</v>
      </c>
      <c r="D419" s="37">
        <v>51120</v>
      </c>
      <c r="E419" s="49" t="s">
        <v>119</v>
      </c>
      <c r="F419" s="3" t="s">
        <v>2</v>
      </c>
      <c r="G419" s="3" t="s">
        <v>802</v>
      </c>
      <c r="H419" s="26">
        <v>59446</v>
      </c>
      <c r="I419" s="244">
        <v>2596</v>
      </c>
      <c r="J419" s="16">
        <f>H419+I419</f>
        <v>62042</v>
      </c>
      <c r="K419" s="122">
        <f t="shared" ref="K419:K425" si="213">IF(H419=0," ",(J419-H419)/H419)</f>
        <v>4.3669885274030214E-2</v>
      </c>
      <c r="M419" s="117">
        <v>62042</v>
      </c>
      <c r="N419" s="117">
        <v>62042</v>
      </c>
      <c r="P419" s="259" t="s">
        <v>537</v>
      </c>
      <c r="R419" s="26">
        <v>62042</v>
      </c>
      <c r="S419" s="26">
        <v>62041.2</v>
      </c>
      <c r="U419" s="26">
        <v>62042</v>
      </c>
      <c r="V419" s="244">
        <v>3010</v>
      </c>
      <c r="W419" s="16">
        <f>U419+V419</f>
        <v>65052</v>
      </c>
      <c r="X419" s="122">
        <f t="shared" ref="X419:X425" si="214">IF(U419=0," ",(W419-U419)/U419)</f>
        <v>4.8515521743335163E-2</v>
      </c>
      <c r="Z419" s="117">
        <v>65052</v>
      </c>
      <c r="AA419" s="117">
        <v>65052</v>
      </c>
      <c r="AC419" s="259" t="s">
        <v>664</v>
      </c>
      <c r="AE419" s="26">
        <v>65052</v>
      </c>
      <c r="AF419" s="200">
        <v>65052</v>
      </c>
      <c r="AH419" s="26">
        <v>65052</v>
      </c>
      <c r="AI419" s="253">
        <v>1806</v>
      </c>
      <c r="AJ419" s="16">
        <f>AH419+AI419</f>
        <v>66858</v>
      </c>
      <c r="AK419" s="122">
        <f t="shared" ref="AK419:AK425" si="215">IF(AH419=0," ",(AJ419-AH419)/AH419)</f>
        <v>2.7762405460247188E-2</v>
      </c>
      <c r="AM419" s="117">
        <v>66858</v>
      </c>
      <c r="AN419" s="117">
        <v>66858</v>
      </c>
      <c r="AP419" s="259" t="s">
        <v>780</v>
      </c>
      <c r="AR419" s="26">
        <v>66858</v>
      </c>
      <c r="AS419" s="26">
        <v>53473.45</v>
      </c>
      <c r="AU419" s="26">
        <f t="shared" ref="AU419:AU424" si="216">AR419</f>
        <v>66858</v>
      </c>
      <c r="AV419" s="253">
        <v>1076</v>
      </c>
      <c r="AW419" s="16">
        <f>AU419+AV419</f>
        <v>67934</v>
      </c>
      <c r="AX419" s="122">
        <f t="shared" ref="AX419:AX425" si="217">IF(AU419=0," ",(AW419-AU419)/AU419)</f>
        <v>1.6093810763109874E-2</v>
      </c>
      <c r="AZ419" s="117">
        <v>67934</v>
      </c>
      <c r="BA419" s="117">
        <v>39962</v>
      </c>
      <c r="BC419" s="266" t="s">
        <v>1092</v>
      </c>
      <c r="BE419" s="26">
        <v>39962</v>
      </c>
      <c r="BF419" s="26">
        <v>40318.44</v>
      </c>
      <c r="BH419" s="26">
        <v>39962</v>
      </c>
      <c r="BI419" s="253">
        <v>798</v>
      </c>
      <c r="BJ419" s="16">
        <f>BH419+BI419</f>
        <v>40760</v>
      </c>
      <c r="BK419" s="122">
        <f t="shared" ref="BK419:BK425" si="218">IF(BH419=0," ",(BJ419-BH419)/BH419)</f>
        <v>1.9968970521995897E-2</v>
      </c>
      <c r="BM419" s="117">
        <v>40760</v>
      </c>
      <c r="BN419" s="117">
        <v>64347</v>
      </c>
      <c r="BP419" s="411" t="s">
        <v>1302</v>
      </c>
      <c r="BR419" s="117">
        <v>64347</v>
      </c>
      <c r="BS419" s="26">
        <v>30669.71</v>
      </c>
      <c r="BU419" s="26">
        <v>64347</v>
      </c>
      <c r="BV419" s="244">
        <v>4683</v>
      </c>
      <c r="BW419" s="576">
        <f>BU419+BV419</f>
        <v>69030</v>
      </c>
      <c r="BX419" s="577">
        <f t="shared" ref="BX419:BX425" si="219">IF(BU419=0," ",(BW419-BU419)/BU419)</f>
        <v>7.2777285654342855E-2</v>
      </c>
      <c r="BZ419" s="166">
        <v>69030</v>
      </c>
      <c r="CA419" s="166">
        <f>69030+4950</f>
        <v>73980</v>
      </c>
      <c r="CC419" s="765" t="s">
        <v>1575</v>
      </c>
      <c r="CE419" s="247">
        <f>69030+4950</f>
        <v>73980</v>
      </c>
      <c r="CF419" s="166"/>
      <c r="CH419" s="813">
        <v>4950</v>
      </c>
      <c r="CJ419" s="886"/>
      <c r="CO419" s="16"/>
    </row>
    <row r="420" spans="1:93" x14ac:dyDescent="0.3">
      <c r="A420" s="11">
        <v>241</v>
      </c>
      <c r="B420" s="3" t="s">
        <v>2</v>
      </c>
      <c r="C420" s="37">
        <v>24101</v>
      </c>
      <c r="D420" s="37">
        <v>51122</v>
      </c>
      <c r="E420" s="49" t="s">
        <v>119</v>
      </c>
      <c r="F420" s="3" t="s">
        <v>2</v>
      </c>
      <c r="G420" s="3" t="s">
        <v>803</v>
      </c>
      <c r="H420" s="26">
        <v>19319</v>
      </c>
      <c r="I420" s="244">
        <v>313</v>
      </c>
      <c r="J420" s="16">
        <f>H420+I420</f>
        <v>19632</v>
      </c>
      <c r="K420" s="122">
        <f t="shared" si="213"/>
        <v>1.6201666752937521E-2</v>
      </c>
      <c r="M420" s="117">
        <v>19632</v>
      </c>
      <c r="N420" s="117">
        <v>19632</v>
      </c>
      <c r="P420" s="259" t="s">
        <v>539</v>
      </c>
      <c r="R420" s="26">
        <v>19632</v>
      </c>
      <c r="S420" s="26">
        <v>19668.79</v>
      </c>
      <c r="U420" s="26">
        <v>19632</v>
      </c>
      <c r="V420" s="244">
        <v>393</v>
      </c>
      <c r="W420" s="16">
        <f>U420+V420</f>
        <v>20025</v>
      </c>
      <c r="X420" s="122">
        <f t="shared" si="214"/>
        <v>2.0018337408312957E-2</v>
      </c>
      <c r="Z420" s="117">
        <v>20025</v>
      </c>
      <c r="AA420" s="117">
        <v>20025</v>
      </c>
      <c r="AC420" s="259" t="s">
        <v>662</v>
      </c>
      <c r="AE420" s="26">
        <v>20025</v>
      </c>
      <c r="AF420" s="200">
        <v>19985.650000000001</v>
      </c>
      <c r="AH420" s="26">
        <v>20025</v>
      </c>
      <c r="AI420" s="253">
        <v>556</v>
      </c>
      <c r="AJ420" s="16">
        <f>AH420+AI420</f>
        <v>20581</v>
      </c>
      <c r="AK420" s="122">
        <f t="shared" si="215"/>
        <v>2.7765293383270911E-2</v>
      </c>
      <c r="AM420" s="117">
        <v>20581</v>
      </c>
      <c r="AN420" s="117">
        <v>20581</v>
      </c>
      <c r="AP420" s="259" t="s">
        <v>781</v>
      </c>
      <c r="AR420" s="26">
        <v>20581</v>
      </c>
      <c r="AS420" s="26">
        <v>20619.900000000001</v>
      </c>
      <c r="AU420" s="26">
        <f t="shared" si="216"/>
        <v>20581</v>
      </c>
      <c r="AV420" s="253">
        <v>316</v>
      </c>
      <c r="AW420" s="16">
        <f>AU420+AV420</f>
        <v>20897</v>
      </c>
      <c r="AX420" s="122">
        <f t="shared" si="217"/>
        <v>1.5353967251348331E-2</v>
      </c>
      <c r="AZ420" s="117">
        <v>20897</v>
      </c>
      <c r="BA420" s="117">
        <v>20503</v>
      </c>
      <c r="BC420" s="259" t="s">
        <v>960</v>
      </c>
      <c r="BE420" s="26">
        <v>20503</v>
      </c>
      <c r="BF420" s="26">
        <v>20423.52</v>
      </c>
      <c r="BH420" s="26">
        <v>20503</v>
      </c>
      <c r="BI420" s="253">
        <v>394</v>
      </c>
      <c r="BJ420" s="16">
        <f>BH420+BI420</f>
        <v>20897</v>
      </c>
      <c r="BK420" s="122">
        <f t="shared" si="218"/>
        <v>1.9216699995122665E-2</v>
      </c>
      <c r="BM420" s="117">
        <v>20897</v>
      </c>
      <c r="BN420" s="117">
        <v>20897</v>
      </c>
      <c r="BP420" s="428" t="s">
        <v>1303</v>
      </c>
      <c r="BR420" s="117">
        <v>20897</v>
      </c>
      <c r="BS420" s="26">
        <v>9407.52</v>
      </c>
      <c r="BU420" s="26">
        <v>20897</v>
      </c>
      <c r="BV420" s="244">
        <v>338</v>
      </c>
      <c r="BW420" s="576">
        <f>BU420+BV420</f>
        <v>21235</v>
      </c>
      <c r="BX420" s="577">
        <f t="shared" si="219"/>
        <v>1.6174570512513756E-2</v>
      </c>
      <c r="BZ420" s="166">
        <v>21235</v>
      </c>
      <c r="CA420" s="166">
        <v>21235</v>
      </c>
      <c r="CC420" s="765" t="s">
        <v>1516</v>
      </c>
      <c r="CE420" s="166">
        <v>21235</v>
      </c>
      <c r="CF420" s="166"/>
      <c r="CJ420" s="886"/>
      <c r="CO420" s="16"/>
    </row>
    <row r="421" spans="1:93" x14ac:dyDescent="0.3">
      <c r="A421" s="11">
        <v>241</v>
      </c>
      <c r="B421" s="3" t="s">
        <v>2</v>
      </c>
      <c r="C421" s="37">
        <v>24101</v>
      </c>
      <c r="D421" s="37">
        <v>51124</v>
      </c>
      <c r="E421" s="49" t="s">
        <v>119</v>
      </c>
      <c r="F421" s="3" t="s">
        <v>2</v>
      </c>
      <c r="G421" s="3" t="s">
        <v>804</v>
      </c>
      <c r="H421" s="26">
        <v>19319</v>
      </c>
      <c r="I421" s="244">
        <v>313</v>
      </c>
      <c r="J421" s="16">
        <f>H421+I421</f>
        <v>19632</v>
      </c>
      <c r="K421" s="122">
        <f t="shared" si="213"/>
        <v>1.6201666752937521E-2</v>
      </c>
      <c r="M421" s="117">
        <v>19632</v>
      </c>
      <c r="N421" s="117">
        <v>19632</v>
      </c>
      <c r="P421" s="259" t="s">
        <v>538</v>
      </c>
      <c r="R421" s="26">
        <v>19632</v>
      </c>
      <c r="S421" s="26">
        <v>18536.22</v>
      </c>
      <c r="U421" s="26">
        <v>19632</v>
      </c>
      <c r="V421" s="244">
        <v>393</v>
      </c>
      <c r="W421" s="16">
        <f>U421+V421</f>
        <v>20025</v>
      </c>
      <c r="X421" s="122">
        <f t="shared" si="214"/>
        <v>2.0018337408312957E-2</v>
      </c>
      <c r="Z421" s="117">
        <v>20025</v>
      </c>
      <c r="AA421" s="117">
        <v>20025</v>
      </c>
      <c r="AC421" s="259" t="s">
        <v>662</v>
      </c>
      <c r="AE421" s="26">
        <v>20025</v>
      </c>
      <c r="AF421" s="200">
        <v>20114.009999999998</v>
      </c>
      <c r="AH421" s="26">
        <v>20025</v>
      </c>
      <c r="AI421" s="253">
        <v>556</v>
      </c>
      <c r="AJ421" s="16">
        <f>AH421+AI421</f>
        <v>20581</v>
      </c>
      <c r="AK421" s="122">
        <f t="shared" si="215"/>
        <v>2.7765293383270911E-2</v>
      </c>
      <c r="AM421" s="117">
        <v>20581</v>
      </c>
      <c r="AN421" s="117">
        <v>20581</v>
      </c>
      <c r="AP421" s="259" t="s">
        <v>781</v>
      </c>
      <c r="AR421" s="26">
        <v>20581</v>
      </c>
      <c r="AS421" s="26">
        <v>20619.900000000001</v>
      </c>
      <c r="AU421" s="26">
        <f t="shared" si="216"/>
        <v>20581</v>
      </c>
      <c r="AV421" s="253">
        <v>316</v>
      </c>
      <c r="AW421" s="16">
        <f>AU421+AV421</f>
        <v>20897</v>
      </c>
      <c r="AX421" s="122">
        <f t="shared" si="217"/>
        <v>1.5353967251348331E-2</v>
      </c>
      <c r="AZ421" s="117">
        <v>20897</v>
      </c>
      <c r="BA421" s="117">
        <v>20503</v>
      </c>
      <c r="BC421" s="259" t="s">
        <v>960</v>
      </c>
      <c r="BE421" s="26">
        <v>20503</v>
      </c>
      <c r="BF421" s="26">
        <v>20558.46</v>
      </c>
      <c r="BH421" s="26">
        <v>20503</v>
      </c>
      <c r="BI421" s="253">
        <v>394</v>
      </c>
      <c r="BJ421" s="16">
        <f>BH421+BI421</f>
        <v>20897</v>
      </c>
      <c r="BK421" s="122">
        <f t="shared" si="218"/>
        <v>1.9216699995122665E-2</v>
      </c>
      <c r="BM421" s="117">
        <v>20897</v>
      </c>
      <c r="BN421" s="117">
        <v>20897</v>
      </c>
      <c r="BP421" s="428" t="s">
        <v>1303</v>
      </c>
      <c r="BR421" s="117">
        <v>20897</v>
      </c>
      <c r="BS421" s="26">
        <v>9707.36</v>
      </c>
      <c r="BU421" s="26">
        <v>20897</v>
      </c>
      <c r="BV421" s="244">
        <v>338</v>
      </c>
      <c r="BW421" s="576">
        <f>BU421+BV421</f>
        <v>21235</v>
      </c>
      <c r="BX421" s="577">
        <f t="shared" si="219"/>
        <v>1.6174570512513756E-2</v>
      </c>
      <c r="BZ421" s="166">
        <v>21235</v>
      </c>
      <c r="CA421" s="166">
        <v>21235</v>
      </c>
      <c r="CC421" s="765" t="s">
        <v>1516</v>
      </c>
      <c r="CE421" s="166">
        <v>21235</v>
      </c>
      <c r="CF421" s="166"/>
      <c r="CJ421" s="886"/>
      <c r="CO421" s="16"/>
    </row>
    <row r="422" spans="1:93" x14ac:dyDescent="0.3">
      <c r="A422" s="11">
        <v>241</v>
      </c>
      <c r="B422" s="3" t="s">
        <v>2</v>
      </c>
      <c r="C422" s="37">
        <v>24101</v>
      </c>
      <c r="D422" s="37">
        <v>51490</v>
      </c>
      <c r="E422" s="49" t="s">
        <v>119</v>
      </c>
      <c r="F422" s="3" t="s">
        <v>2</v>
      </c>
      <c r="G422" s="3" t="s">
        <v>805</v>
      </c>
      <c r="H422" s="26">
        <v>750</v>
      </c>
      <c r="I422" s="244"/>
      <c r="J422" s="16">
        <f>H422+I422</f>
        <v>750</v>
      </c>
      <c r="K422" s="122">
        <f t="shared" si="213"/>
        <v>0</v>
      </c>
      <c r="M422" s="117">
        <v>750</v>
      </c>
      <c r="N422" s="117">
        <v>750</v>
      </c>
      <c r="P422" s="259" t="s">
        <v>535</v>
      </c>
      <c r="R422" s="26">
        <v>750</v>
      </c>
      <c r="S422" s="26">
        <v>750</v>
      </c>
      <c r="U422" s="26">
        <v>750</v>
      </c>
      <c r="V422" s="244">
        <v>0</v>
      </c>
      <c r="W422" s="16">
        <f>U422+V422</f>
        <v>750</v>
      </c>
      <c r="X422" s="122">
        <f t="shared" si="214"/>
        <v>0</v>
      </c>
      <c r="Z422" s="117">
        <v>750</v>
      </c>
      <c r="AA422" s="117">
        <v>750</v>
      </c>
      <c r="AC422" s="259"/>
      <c r="AE422" s="26">
        <v>750</v>
      </c>
      <c r="AF422" s="200">
        <v>750</v>
      </c>
      <c r="AH422" s="26">
        <v>750</v>
      </c>
      <c r="AI422" s="244">
        <v>375</v>
      </c>
      <c r="AJ422" s="16">
        <f>AH422+AI422</f>
        <v>1125</v>
      </c>
      <c r="AK422" s="122">
        <f t="shared" si="215"/>
        <v>0.5</v>
      </c>
      <c r="AM422" s="117">
        <v>1125</v>
      </c>
      <c r="AN422" s="117">
        <v>1125</v>
      </c>
      <c r="AP422" s="259"/>
      <c r="AR422" s="26">
        <v>1125</v>
      </c>
      <c r="AS422" s="26">
        <v>1125</v>
      </c>
      <c r="AU422" s="26">
        <f t="shared" si="216"/>
        <v>1125</v>
      </c>
      <c r="AV422" s="244"/>
      <c r="AW422" s="16">
        <f>AU422+AV422</f>
        <v>1125</v>
      </c>
      <c r="AX422" s="122">
        <f t="shared" si="217"/>
        <v>0</v>
      </c>
      <c r="AZ422" s="117">
        <v>1125</v>
      </c>
      <c r="BA422" s="117">
        <v>1125</v>
      </c>
      <c r="BC422" s="259"/>
      <c r="BE422" s="26">
        <v>1125</v>
      </c>
      <c r="BF422" s="26">
        <v>0</v>
      </c>
      <c r="BH422" s="26">
        <v>1125</v>
      </c>
      <c r="BI422" s="244">
        <v>-1125</v>
      </c>
      <c r="BJ422" s="16">
        <f>BH422+BI422</f>
        <v>0</v>
      </c>
      <c r="BK422" s="122">
        <f t="shared" si="218"/>
        <v>-1</v>
      </c>
      <c r="BM422" s="117">
        <v>0</v>
      </c>
      <c r="BN422" s="117">
        <v>0</v>
      </c>
      <c r="BP422" s="259"/>
      <c r="BR422" s="117">
        <v>0</v>
      </c>
      <c r="BS422" s="26">
        <v>0</v>
      </c>
      <c r="BU422" s="26">
        <v>0</v>
      </c>
      <c r="BV422" s="244"/>
      <c r="BW422" s="576">
        <f>BU422+BV422</f>
        <v>0</v>
      </c>
      <c r="BX422" s="577" t="str">
        <f t="shared" si="219"/>
        <v xml:space="preserve"> </v>
      </c>
      <c r="BZ422" s="166">
        <v>0</v>
      </c>
      <c r="CA422" s="166">
        <v>0</v>
      </c>
      <c r="CC422" s="753"/>
      <c r="CE422" s="166">
        <v>0</v>
      </c>
      <c r="CF422" s="166"/>
      <c r="CJ422" s="886"/>
      <c r="CO422" s="16"/>
    </row>
    <row r="423" spans="1:93" s="7" customFormat="1" x14ac:dyDescent="0.3">
      <c r="A423" s="23">
        <v>241</v>
      </c>
      <c r="B423" s="7" t="s">
        <v>2</v>
      </c>
      <c r="C423" s="40">
        <v>24101</v>
      </c>
      <c r="D423" s="40">
        <v>51491</v>
      </c>
      <c r="E423" s="53" t="s">
        <v>119</v>
      </c>
      <c r="F423" s="7" t="s">
        <v>2</v>
      </c>
      <c r="G423" s="7" t="s">
        <v>1514</v>
      </c>
      <c r="H423" s="146">
        <v>1000</v>
      </c>
      <c r="I423" s="246"/>
      <c r="J423" s="31">
        <f>H423+I423</f>
        <v>1000</v>
      </c>
      <c r="K423" s="148">
        <f t="shared" si="213"/>
        <v>0</v>
      </c>
      <c r="M423" s="147">
        <v>1000</v>
      </c>
      <c r="N423" s="147">
        <v>1000</v>
      </c>
      <c r="P423" s="149" t="s">
        <v>534</v>
      </c>
      <c r="R423" s="146">
        <v>1000</v>
      </c>
      <c r="S423" s="146">
        <v>1000</v>
      </c>
      <c r="U423" s="146">
        <v>1000</v>
      </c>
      <c r="V423" s="246">
        <v>0</v>
      </c>
      <c r="W423" s="31">
        <f>U423+V423</f>
        <v>1000</v>
      </c>
      <c r="X423" s="148">
        <f t="shared" si="214"/>
        <v>0</v>
      </c>
      <c r="Z423" s="147">
        <v>1000</v>
      </c>
      <c r="AA423" s="147">
        <v>1000</v>
      </c>
      <c r="AC423" s="149"/>
      <c r="AE423" s="146">
        <v>1000</v>
      </c>
      <c r="AF423" s="272">
        <v>1000</v>
      </c>
      <c r="AH423" s="146">
        <v>1000</v>
      </c>
      <c r="AI423" s="246"/>
      <c r="AJ423" s="31">
        <f>AH423+AI423</f>
        <v>1000</v>
      </c>
      <c r="AK423" s="148">
        <f t="shared" si="215"/>
        <v>0</v>
      </c>
      <c r="AM423" s="147">
        <v>1000</v>
      </c>
      <c r="AN423" s="147">
        <v>1000</v>
      </c>
      <c r="AP423" s="149"/>
      <c r="AR423" s="146">
        <v>1000</v>
      </c>
      <c r="AS423" s="146">
        <v>1000</v>
      </c>
      <c r="AU423" s="146">
        <f t="shared" si="216"/>
        <v>1000</v>
      </c>
      <c r="AV423" s="246"/>
      <c r="AW423" s="31">
        <f>AU423+AV423</f>
        <v>1000</v>
      </c>
      <c r="AX423" s="148">
        <f t="shared" si="217"/>
        <v>0</v>
      </c>
      <c r="AZ423" s="147">
        <v>1000</v>
      </c>
      <c r="BA423" s="147">
        <v>1000</v>
      </c>
      <c r="BC423" s="149"/>
      <c r="BE423" s="146">
        <v>1000</v>
      </c>
      <c r="BF423" s="146">
        <v>0</v>
      </c>
      <c r="BG423" s="6"/>
      <c r="BH423" s="146">
        <v>1000</v>
      </c>
      <c r="BI423" s="246"/>
      <c r="BJ423" s="31">
        <f>BH423+BI423</f>
        <v>1000</v>
      </c>
      <c r="BK423" s="148">
        <f t="shared" si="218"/>
        <v>0</v>
      </c>
      <c r="BM423" s="147">
        <v>1000</v>
      </c>
      <c r="BN423" s="147">
        <v>1000</v>
      </c>
      <c r="BP423" s="149"/>
      <c r="BR423" s="147">
        <v>1000</v>
      </c>
      <c r="BS423" s="146">
        <v>1000</v>
      </c>
      <c r="BT423" s="6"/>
      <c r="BU423" s="146">
        <v>1000</v>
      </c>
      <c r="BV423" s="246"/>
      <c r="BW423" s="583">
        <f>BU423+BV423</f>
        <v>1000</v>
      </c>
      <c r="BX423" s="584">
        <f t="shared" si="219"/>
        <v>0</v>
      </c>
      <c r="BY423" s="590"/>
      <c r="BZ423" s="585">
        <v>1000</v>
      </c>
      <c r="CA423" s="585">
        <v>1000</v>
      </c>
      <c r="CB423" s="590"/>
      <c r="CC423" s="766"/>
      <c r="CD423" s="590"/>
      <c r="CE423" s="585">
        <v>1000</v>
      </c>
      <c r="CF423" s="585"/>
      <c r="CG423" s="6"/>
      <c r="CH423" s="814"/>
      <c r="CI423" s="814"/>
      <c r="CJ423" s="886"/>
      <c r="CO423" s="16"/>
    </row>
    <row r="424" spans="1:93" x14ac:dyDescent="0.3">
      <c r="A424" s="11">
        <v>241</v>
      </c>
      <c r="B424" s="3" t="s">
        <v>2</v>
      </c>
      <c r="C424" s="37">
        <v>24105</v>
      </c>
      <c r="D424" s="37">
        <v>57100</v>
      </c>
      <c r="E424" s="49" t="s">
        <v>118</v>
      </c>
      <c r="F424" s="3" t="s">
        <v>2</v>
      </c>
      <c r="G424" s="3" t="s">
        <v>799</v>
      </c>
      <c r="H424" s="26">
        <v>3930</v>
      </c>
      <c r="I424" s="244">
        <v>-230</v>
      </c>
      <c r="J424" s="16">
        <f t="shared" ref="J424" si="220">H424+I424</f>
        <v>3700</v>
      </c>
      <c r="K424" s="122">
        <f t="shared" si="213"/>
        <v>-5.8524173027989825E-2</v>
      </c>
      <c r="M424" s="117">
        <v>3700</v>
      </c>
      <c r="N424" s="117">
        <v>3700</v>
      </c>
      <c r="P424" s="259"/>
      <c r="R424" s="26">
        <v>3700</v>
      </c>
      <c r="S424" s="26">
        <v>3194.96</v>
      </c>
      <c r="U424" s="26">
        <v>3700</v>
      </c>
      <c r="V424" s="244">
        <v>0</v>
      </c>
      <c r="W424" s="16">
        <f t="shared" ref="W424" si="221">U424+V424</f>
        <v>3700</v>
      </c>
      <c r="X424" s="122">
        <f t="shared" si="214"/>
        <v>0</v>
      </c>
      <c r="Z424" s="117">
        <v>3700</v>
      </c>
      <c r="AA424" s="117">
        <v>3700</v>
      </c>
      <c r="AC424" s="259"/>
      <c r="AE424" s="26">
        <v>3700</v>
      </c>
      <c r="AF424" s="200">
        <v>3131.34</v>
      </c>
      <c r="AH424" s="26">
        <v>3700</v>
      </c>
      <c r="AI424" s="244"/>
      <c r="AJ424" s="16">
        <f t="shared" ref="AJ424" si="222">AH424+AI424</f>
        <v>3700</v>
      </c>
      <c r="AK424" s="122">
        <f t="shared" si="215"/>
        <v>0</v>
      </c>
      <c r="AM424" s="117">
        <v>3700</v>
      </c>
      <c r="AN424" s="117">
        <v>3700</v>
      </c>
      <c r="AP424" s="259"/>
      <c r="AR424" s="26">
        <v>3700</v>
      </c>
      <c r="AS424" s="26">
        <v>2957.63</v>
      </c>
      <c r="AU424" s="26">
        <f t="shared" si="216"/>
        <v>3700</v>
      </c>
      <c r="AV424" s="244"/>
      <c r="AW424" s="16">
        <f t="shared" ref="AW424" si="223">AU424+AV424</f>
        <v>3700</v>
      </c>
      <c r="AX424" s="122">
        <f t="shared" si="217"/>
        <v>0</v>
      </c>
      <c r="AZ424" s="117">
        <v>3700</v>
      </c>
      <c r="BA424" s="117">
        <v>3700</v>
      </c>
      <c r="BC424" s="259"/>
      <c r="BE424" s="26">
        <v>3700</v>
      </c>
      <c r="BF424" s="26">
        <v>4068.04</v>
      </c>
      <c r="BH424" s="26">
        <v>3700</v>
      </c>
      <c r="BI424" s="244"/>
      <c r="BJ424" s="16">
        <f t="shared" ref="BJ424" si="224">BH424+BI424</f>
        <v>3700</v>
      </c>
      <c r="BK424" s="122">
        <f t="shared" si="218"/>
        <v>0</v>
      </c>
      <c r="BM424" s="117">
        <v>3700</v>
      </c>
      <c r="BN424" s="117">
        <v>3700</v>
      </c>
      <c r="BP424" s="259"/>
      <c r="BR424" s="117">
        <v>3700</v>
      </c>
      <c r="BS424" s="26">
        <v>675</v>
      </c>
      <c r="BU424" s="26">
        <v>3700</v>
      </c>
      <c r="BV424" s="244"/>
      <c r="BW424" s="576">
        <f t="shared" ref="BW424" si="225">BU424+BV424</f>
        <v>3700</v>
      </c>
      <c r="BX424" s="577">
        <f t="shared" si="219"/>
        <v>0</v>
      </c>
      <c r="BZ424" s="166">
        <v>3700</v>
      </c>
      <c r="CA424" s="166">
        <v>3700</v>
      </c>
      <c r="CC424" s="753"/>
      <c r="CE424" s="166">
        <v>3700</v>
      </c>
      <c r="CF424" s="166"/>
      <c r="CJ424" s="886"/>
      <c r="CO424" s="16"/>
    </row>
    <row r="425" spans="1:93" x14ac:dyDescent="0.3">
      <c r="A425" s="12"/>
      <c r="H425" s="145">
        <f>SUM(H419:H424)</f>
        <v>103764</v>
      </c>
      <c r="I425" s="145">
        <f>SUM(I419:I424)</f>
        <v>2992</v>
      </c>
      <c r="J425" s="145">
        <f>SUM(J419:J424)</f>
        <v>106756</v>
      </c>
      <c r="K425" s="128">
        <f t="shared" si="213"/>
        <v>2.8834663274353339E-2</v>
      </c>
      <c r="M425" s="145">
        <f>SUM(M419:M424)</f>
        <v>106756</v>
      </c>
      <c r="N425" s="145">
        <f>SUM(N419:N424)</f>
        <v>106756</v>
      </c>
      <c r="P425" s="141">
        <f>SUM(P419:P423)</f>
        <v>0</v>
      </c>
      <c r="R425" s="145">
        <f>SUM(R419:R424)</f>
        <v>106756</v>
      </c>
      <c r="S425" s="145">
        <f>SUM(S419:S424)</f>
        <v>105191.17</v>
      </c>
      <c r="U425" s="145">
        <f>SUM(U419:U424)</f>
        <v>106756</v>
      </c>
      <c r="V425" s="145">
        <f>SUM(V419:V424)</f>
        <v>3796</v>
      </c>
      <c r="W425" s="145">
        <f>SUM(W419:W424)</f>
        <v>110552</v>
      </c>
      <c r="X425" s="128">
        <f t="shared" si="214"/>
        <v>3.5557720409157334E-2</v>
      </c>
      <c r="Z425" s="145">
        <f>SUM(Z419:Z424)</f>
        <v>110552</v>
      </c>
      <c r="AA425" s="145">
        <f>SUM(AA419:AA424)</f>
        <v>110552</v>
      </c>
      <c r="AC425" s="141"/>
      <c r="AE425" s="145">
        <f>SUM(AE419:AE424)</f>
        <v>110552</v>
      </c>
      <c r="AF425" s="145">
        <f>SUM(AF419:AF424)</f>
        <v>110032.99999999999</v>
      </c>
      <c r="AH425" s="145">
        <f>SUM(AH419:AH424)</f>
        <v>110552</v>
      </c>
      <c r="AI425" s="145">
        <f>SUM(AI419:AI424)</f>
        <v>3293</v>
      </c>
      <c r="AJ425" s="145">
        <f>SUM(AJ419:AJ424)</f>
        <v>113845</v>
      </c>
      <c r="AK425" s="128">
        <f t="shared" si="215"/>
        <v>2.9786887618496273E-2</v>
      </c>
      <c r="AM425" s="145">
        <f>SUM(AM419:AM424)</f>
        <v>113845</v>
      </c>
      <c r="AN425" s="145">
        <f>SUM(AN419:AN424)</f>
        <v>113845</v>
      </c>
      <c r="AP425" s="141"/>
      <c r="AR425" s="145">
        <f>SUM(AR419:AR424)</f>
        <v>113845</v>
      </c>
      <c r="AS425" s="145">
        <f>SUM(AS419:AS424)</f>
        <v>99795.88</v>
      </c>
      <c r="AU425" s="145">
        <f>SUM(AU419:AU424)</f>
        <v>113845</v>
      </c>
      <c r="AV425" s="145">
        <f>SUM(AV419:AV424)</f>
        <v>1708</v>
      </c>
      <c r="AW425" s="145">
        <f>SUM(AW419:AW424)</f>
        <v>115553</v>
      </c>
      <c r="AX425" s="128">
        <f t="shared" si="217"/>
        <v>1.5002854758663095E-2</v>
      </c>
      <c r="AZ425" s="145">
        <f>SUM(AZ419:AZ424)</f>
        <v>115553</v>
      </c>
      <c r="BA425" s="145">
        <f>SUM(BA419:BA424)</f>
        <v>86793</v>
      </c>
      <c r="BC425" s="141"/>
      <c r="BE425" s="145">
        <f>SUM(BE419:BE424)</f>
        <v>86793</v>
      </c>
      <c r="BF425" s="145">
        <f>SUM(BF419:BF424)</f>
        <v>85368.46</v>
      </c>
      <c r="BH425" s="145">
        <f>SUM(BH419:BH424)</f>
        <v>86793</v>
      </c>
      <c r="BI425" s="145">
        <f>SUM(BI419:BI424)</f>
        <v>461</v>
      </c>
      <c r="BJ425" s="145">
        <f>SUM(BJ419:BJ424)</f>
        <v>87254</v>
      </c>
      <c r="BK425" s="128">
        <f t="shared" si="218"/>
        <v>5.3114882536610094E-3</v>
      </c>
      <c r="BM425" s="145">
        <f>SUM(BM419:BM424)</f>
        <v>87254</v>
      </c>
      <c r="BN425" s="145">
        <f>SUM(BN419:BN424)</f>
        <v>110841</v>
      </c>
      <c r="BP425" s="141"/>
      <c r="BR425" s="145">
        <f>SUM(BR419:BR424)</f>
        <v>110841</v>
      </c>
      <c r="BS425" s="145">
        <f>SUM(BS419:BS424)</f>
        <v>51459.59</v>
      </c>
      <c r="BU425" s="145">
        <f>SUM(BU419:BU424)</f>
        <v>110841</v>
      </c>
      <c r="BV425" s="145">
        <f>SUM(BV419:BV424)</f>
        <v>5359</v>
      </c>
      <c r="BW425" s="145">
        <f>SUM(BW419:BW424)</f>
        <v>116200</v>
      </c>
      <c r="BX425" s="596">
        <f t="shared" si="219"/>
        <v>4.8348535289288258E-2</v>
      </c>
      <c r="BZ425" s="145">
        <f>SUM(BZ419:BZ424)</f>
        <v>116200</v>
      </c>
      <c r="CA425" s="145">
        <f>SUM(CA419:CA424)</f>
        <v>121150</v>
      </c>
      <c r="CC425" s="770"/>
      <c r="CE425" s="145">
        <f>SUM(CE419:CE424)</f>
        <v>121150</v>
      </c>
      <c r="CF425" s="145">
        <f>SUM(CF419:CF424)</f>
        <v>0</v>
      </c>
      <c r="CJ425" s="886"/>
      <c r="CO425" s="16"/>
    </row>
    <row r="426" spans="1:93" x14ac:dyDescent="0.3">
      <c r="H426" s="26"/>
      <c r="R426" s="26"/>
      <c r="AH426" s="26"/>
      <c r="AR426" s="26"/>
      <c r="AS426" s="26"/>
      <c r="AU426" s="26"/>
      <c r="BE426" s="26"/>
      <c r="BF426" s="26"/>
      <c r="BH426" s="26"/>
      <c r="BM426" s="26"/>
      <c r="BN426" s="26"/>
      <c r="BR426" s="26"/>
      <c r="BU426" s="26"/>
      <c r="BZ426" s="589"/>
      <c r="CA426" s="589"/>
      <c r="CE426" s="589"/>
      <c r="CF426" s="589"/>
      <c r="CJ426" s="886"/>
      <c r="CO426" s="16"/>
    </row>
    <row r="427" spans="1:93" x14ac:dyDescent="0.3">
      <c r="A427" s="11">
        <v>241</v>
      </c>
      <c r="B427" s="3" t="s">
        <v>2</v>
      </c>
      <c r="C427" s="37">
        <v>24102</v>
      </c>
      <c r="D427" s="37">
        <v>51140</v>
      </c>
      <c r="E427" s="49" t="s">
        <v>11</v>
      </c>
      <c r="F427" s="3" t="s">
        <v>2</v>
      </c>
      <c r="G427" s="3" t="s">
        <v>1070</v>
      </c>
      <c r="H427" s="26">
        <v>1650</v>
      </c>
      <c r="I427" s="244">
        <v>94</v>
      </c>
      <c r="J427" s="16">
        <f>H427+I427</f>
        <v>1744</v>
      </c>
      <c r="K427" s="122">
        <f>IF(H427=0," ",(J427-H427)/H427)</f>
        <v>5.6969696969696969E-2</v>
      </c>
      <c r="M427" s="117">
        <v>1744</v>
      </c>
      <c r="N427" s="117">
        <v>1744</v>
      </c>
      <c r="P427" s="259"/>
      <c r="R427" s="26">
        <v>1744</v>
      </c>
      <c r="S427" s="26">
        <v>2050</v>
      </c>
      <c r="U427" s="26">
        <v>1744</v>
      </c>
      <c r="V427" s="244">
        <v>35</v>
      </c>
      <c r="W427" s="16">
        <f>U427+V427</f>
        <v>1779</v>
      </c>
      <c r="X427" s="122">
        <f>IF(U427=0," ",(W427-U427)/U427)</f>
        <v>2.0068807339449542E-2</v>
      </c>
      <c r="Z427" s="117">
        <v>1779</v>
      </c>
      <c r="AA427" s="117">
        <v>1779</v>
      </c>
      <c r="AC427" s="259" t="s">
        <v>676</v>
      </c>
      <c r="AE427" s="26">
        <v>1779</v>
      </c>
      <c r="AF427" s="200">
        <v>1525</v>
      </c>
      <c r="AH427" s="26">
        <v>1779</v>
      </c>
      <c r="AI427" s="244"/>
      <c r="AJ427" s="16">
        <f>AH427+AI427</f>
        <v>1779</v>
      </c>
      <c r="AK427" s="122">
        <f>IF(AH427=0," ",(AJ427-AH427)/AH427)</f>
        <v>0</v>
      </c>
      <c r="AM427" s="117">
        <v>1779</v>
      </c>
      <c r="AN427" s="117">
        <v>1779</v>
      </c>
      <c r="AP427" s="259"/>
      <c r="AR427" s="26">
        <v>1779</v>
      </c>
      <c r="AS427" s="26">
        <v>950</v>
      </c>
      <c r="AU427" s="26">
        <f>AR427</f>
        <v>1779</v>
      </c>
      <c r="AV427" s="244"/>
      <c r="AW427" s="16">
        <f>AU427+AV427</f>
        <v>1779</v>
      </c>
      <c r="AX427" s="122">
        <f>IF(AU427=0," ",(AW427-AU427)/AU427)</f>
        <v>0</v>
      </c>
      <c r="AZ427" s="117">
        <v>1779</v>
      </c>
      <c r="BA427" s="117">
        <v>1779</v>
      </c>
      <c r="BC427" s="266" t="s">
        <v>992</v>
      </c>
      <c r="BE427" s="26">
        <v>1779</v>
      </c>
      <c r="BF427" s="26">
        <v>1750</v>
      </c>
      <c r="BH427" s="26">
        <v>1779</v>
      </c>
      <c r="BI427" s="244"/>
      <c r="BJ427" s="16">
        <f>BH427+BI427</f>
        <v>1779</v>
      </c>
      <c r="BK427" s="122">
        <f>IF(BH427=0," ",(BJ427-BH427)/BH427)</f>
        <v>0</v>
      </c>
      <c r="BM427" s="117">
        <v>1779</v>
      </c>
      <c r="BN427" s="117">
        <v>1779</v>
      </c>
      <c r="BP427" s="259"/>
      <c r="BR427" s="117">
        <v>1779</v>
      </c>
      <c r="BS427" s="26">
        <v>1308.92</v>
      </c>
      <c r="BU427" s="26">
        <v>1779</v>
      </c>
      <c r="BV427" s="244"/>
      <c r="BW427" s="576">
        <f>BU427+BV427</f>
        <v>1779</v>
      </c>
      <c r="BX427" s="577">
        <f>IF(BU427=0," ",(BW427-BU427)/BU427)</f>
        <v>0</v>
      </c>
      <c r="BZ427" s="166">
        <v>1779</v>
      </c>
      <c r="CA427" s="166">
        <f>1779+1721</f>
        <v>3500</v>
      </c>
      <c r="CC427" s="430" t="s">
        <v>1569</v>
      </c>
      <c r="CE427" s="247">
        <f>1779+1721</f>
        <v>3500</v>
      </c>
      <c r="CF427" s="166"/>
      <c r="CH427" s="813">
        <v>1721</v>
      </c>
      <c r="CJ427" s="886"/>
      <c r="CO427" s="16"/>
    </row>
    <row r="428" spans="1:93" x14ac:dyDescent="0.3">
      <c r="A428" s="11">
        <v>241</v>
      </c>
      <c r="B428" s="3" t="s">
        <v>2</v>
      </c>
      <c r="C428" s="37">
        <v>24102</v>
      </c>
      <c r="D428" s="37">
        <v>51141</v>
      </c>
      <c r="E428" s="49" t="s">
        <v>11</v>
      </c>
      <c r="F428" s="3" t="s">
        <v>2</v>
      </c>
      <c r="G428" s="3" t="s">
        <v>806</v>
      </c>
      <c r="H428" s="26">
        <v>29592</v>
      </c>
      <c r="I428" s="244">
        <v>1309</v>
      </c>
      <c r="J428" s="16">
        <f>H428+I428</f>
        <v>30901</v>
      </c>
      <c r="K428" s="122">
        <f>IF(H428=0," ",(J428-H428)/H428)</f>
        <v>4.4234928359015949E-2</v>
      </c>
      <c r="M428" s="117">
        <v>30901</v>
      </c>
      <c r="N428" s="117">
        <v>30901</v>
      </c>
      <c r="P428" s="259" t="s">
        <v>540</v>
      </c>
      <c r="R428" s="26">
        <v>30901</v>
      </c>
      <c r="S428" s="26">
        <v>29552.400000000001</v>
      </c>
      <c r="U428" s="26">
        <v>30901</v>
      </c>
      <c r="V428" s="244">
        <v>1485</v>
      </c>
      <c r="W428" s="16">
        <f>U428+V428</f>
        <v>32386</v>
      </c>
      <c r="X428" s="122">
        <f>IF(U428=0," ",(W428-U428)/U428)</f>
        <v>4.8056697194265557E-2</v>
      </c>
      <c r="Z428" s="117">
        <v>32386</v>
      </c>
      <c r="AA428" s="117">
        <v>32386</v>
      </c>
      <c r="AC428" s="259" t="s">
        <v>663</v>
      </c>
      <c r="AE428" s="26">
        <v>32386</v>
      </c>
      <c r="AF428" s="200">
        <v>29080.68</v>
      </c>
      <c r="AH428" s="26">
        <v>32386</v>
      </c>
      <c r="AI428" s="253">
        <v>-810</v>
      </c>
      <c r="AJ428" s="16">
        <f>AH428+AI428</f>
        <v>31576</v>
      </c>
      <c r="AK428" s="122">
        <f>IF(AH428=0," ",(AJ428-AH428)/AH428)</f>
        <v>-2.5010807138887172E-2</v>
      </c>
      <c r="AM428" s="117">
        <v>31576</v>
      </c>
      <c r="AN428" s="117">
        <v>31576</v>
      </c>
      <c r="AP428" s="259" t="s">
        <v>785</v>
      </c>
      <c r="AR428" s="26">
        <v>31576</v>
      </c>
      <c r="AS428" s="26">
        <v>36988.559999999998</v>
      </c>
      <c r="AU428" s="26">
        <f>AR428</f>
        <v>31576</v>
      </c>
      <c r="AV428" s="253">
        <v>1329</v>
      </c>
      <c r="AW428" s="16">
        <f>AU428+AV428</f>
        <v>32905</v>
      </c>
      <c r="AX428" s="122">
        <f>IF(AU428=0," ",(AW428-AU428)/AU428)</f>
        <v>4.2088928299974661E-2</v>
      </c>
      <c r="AZ428" s="117">
        <v>32780</v>
      </c>
      <c r="BA428" s="117">
        <v>43021</v>
      </c>
      <c r="BC428" s="266" t="s">
        <v>1079</v>
      </c>
      <c r="BE428" s="26">
        <v>43021</v>
      </c>
      <c r="BF428" s="26">
        <v>35120.870000000003</v>
      </c>
      <c r="BH428" s="26">
        <v>43021</v>
      </c>
      <c r="BI428" s="253">
        <v>853</v>
      </c>
      <c r="BJ428" s="16">
        <f>BH428+BI428</f>
        <v>43874</v>
      </c>
      <c r="BK428" s="122">
        <f>IF(BH428=0," ",(BJ428-BH428)/BH428)</f>
        <v>1.9827526091908604E-2</v>
      </c>
      <c r="BM428" s="117">
        <v>42343</v>
      </c>
      <c r="BN428" s="216">
        <v>33168</v>
      </c>
      <c r="BP428" s="428" t="s">
        <v>1304</v>
      </c>
      <c r="BR428" s="216">
        <v>33168</v>
      </c>
      <c r="BS428" s="26">
        <v>12913.92</v>
      </c>
      <c r="BU428" s="232">
        <v>33168</v>
      </c>
      <c r="BV428" s="244">
        <v>229</v>
      </c>
      <c r="BW428" s="576">
        <f>BU428+BV428</f>
        <v>33397</v>
      </c>
      <c r="BX428" s="577">
        <f>IF(BU428=0," ",(BW428-BU428)/BU428)</f>
        <v>6.9042450554751564E-3</v>
      </c>
      <c r="BZ428" s="166">
        <v>33397</v>
      </c>
      <c r="CA428" s="166">
        <v>33397</v>
      </c>
      <c r="CC428" s="778" t="s">
        <v>1325</v>
      </c>
      <c r="CE428" s="166">
        <v>33397</v>
      </c>
      <c r="CF428" s="166"/>
      <c r="CJ428" s="886"/>
      <c r="CO428" s="16"/>
    </row>
    <row r="429" spans="1:93" x14ac:dyDescent="0.3">
      <c r="A429" s="11">
        <v>241</v>
      </c>
      <c r="B429" s="3" t="s">
        <v>2</v>
      </c>
      <c r="C429" s="37">
        <v>24102</v>
      </c>
      <c r="D429" s="37">
        <v>51490</v>
      </c>
      <c r="E429" s="49" t="s">
        <v>11</v>
      </c>
      <c r="F429" s="3" t="s">
        <v>2</v>
      </c>
      <c r="G429" s="3" t="s">
        <v>807</v>
      </c>
      <c r="H429" s="26">
        <v>900</v>
      </c>
      <c r="I429" s="245"/>
      <c r="J429" s="16">
        <f>H429+I429</f>
        <v>900</v>
      </c>
      <c r="K429" s="122">
        <f>IF(H429=0," ",(J429-H429)/H429)</f>
        <v>0</v>
      </c>
      <c r="M429" s="118">
        <v>900</v>
      </c>
      <c r="N429" s="118">
        <v>900</v>
      </c>
      <c r="P429" s="137" t="s">
        <v>536</v>
      </c>
      <c r="R429" s="144">
        <v>900</v>
      </c>
      <c r="S429" s="144">
        <v>1494.24</v>
      </c>
      <c r="U429" s="144">
        <v>900</v>
      </c>
      <c r="V429" s="245">
        <v>0</v>
      </c>
      <c r="W429" s="16">
        <f>U429+V429</f>
        <v>900</v>
      </c>
      <c r="X429" s="122">
        <f>IF(U429=0," ",(W429-U429)/U429)</f>
        <v>0</v>
      </c>
      <c r="Z429" s="118">
        <v>900</v>
      </c>
      <c r="AA429" s="118">
        <v>900</v>
      </c>
      <c r="AC429" s="137"/>
      <c r="AE429" s="144">
        <v>900</v>
      </c>
      <c r="AF429" s="271">
        <v>279.36</v>
      </c>
      <c r="AH429" s="144">
        <v>900</v>
      </c>
      <c r="AI429" s="245">
        <v>-900</v>
      </c>
      <c r="AJ429" s="16">
        <f>AH429+AI429</f>
        <v>0</v>
      </c>
      <c r="AK429" s="122">
        <f>IF(AH429=0," ",(AJ429-AH429)/AH429)</f>
        <v>-1</v>
      </c>
      <c r="AM429" s="117">
        <v>0</v>
      </c>
      <c r="AN429" s="117">
        <v>0</v>
      </c>
      <c r="AP429" s="259" t="s">
        <v>779</v>
      </c>
      <c r="AR429" s="26">
        <v>0</v>
      </c>
      <c r="AS429" s="26"/>
      <c r="AU429" s="26">
        <f>AR429</f>
        <v>0</v>
      </c>
      <c r="AV429" s="245"/>
      <c r="AW429" s="16">
        <f>AU429+AV429</f>
        <v>0</v>
      </c>
      <c r="AX429" s="122" t="str">
        <f>IF(AU429=0," ",(AW429-AU429)/AU429)</f>
        <v xml:space="preserve"> </v>
      </c>
      <c r="AZ429" s="117"/>
      <c r="BA429" s="117"/>
      <c r="BC429" s="259"/>
      <c r="BE429" s="26"/>
      <c r="BF429" s="26"/>
      <c r="BH429" s="26"/>
      <c r="BI429" s="245"/>
      <c r="BJ429" s="16">
        <f>BH429+BI429</f>
        <v>0</v>
      </c>
      <c r="BK429" s="122" t="str">
        <f>IF(BH429=0," ",(BJ429-BH429)/BH429)</f>
        <v xml:space="preserve"> </v>
      </c>
      <c r="BM429" s="117">
        <v>0</v>
      </c>
      <c r="BN429" s="117"/>
      <c r="BP429" s="259"/>
      <c r="BR429" s="117"/>
      <c r="BS429" s="144"/>
      <c r="BU429" s="26"/>
      <c r="BV429" s="245"/>
      <c r="BW429" s="576">
        <f>BU429+BV429</f>
        <v>0</v>
      </c>
      <c r="BX429" s="577" t="str">
        <f>IF(BU429=0," ",(BW429-BU429)/BU429)</f>
        <v xml:space="preserve"> </v>
      </c>
      <c r="BZ429" s="166">
        <v>0</v>
      </c>
      <c r="CA429" s="166">
        <v>0</v>
      </c>
      <c r="CC429" s="753"/>
      <c r="CE429" s="166">
        <v>0</v>
      </c>
      <c r="CF429" s="166"/>
      <c r="CJ429" s="886"/>
      <c r="CO429" s="16"/>
    </row>
    <row r="430" spans="1:93" x14ac:dyDescent="0.3">
      <c r="A430" s="12"/>
      <c r="H430" s="145">
        <f>SUM(H427:H429)</f>
        <v>32142</v>
      </c>
      <c r="I430" s="145">
        <f>SUM(I427:I429)</f>
        <v>1403</v>
      </c>
      <c r="J430" s="145">
        <f>SUM(J427:J429)</f>
        <v>33545</v>
      </c>
      <c r="K430" s="128">
        <f>IF(H430=0," ",(J430-H430)/H430)</f>
        <v>4.3650052890299294E-2</v>
      </c>
      <c r="M430" s="145">
        <f>SUM(M427:M429)</f>
        <v>33545</v>
      </c>
      <c r="N430" s="145">
        <f>SUM(N427:N429)</f>
        <v>33545</v>
      </c>
      <c r="P430" s="141">
        <f>SUM(P427:P429)</f>
        <v>0</v>
      </c>
      <c r="R430" s="145">
        <f>SUM(R427:R429)</f>
        <v>33545</v>
      </c>
      <c r="S430" s="145">
        <f>SUM(S427:S429)</f>
        <v>33096.639999999999</v>
      </c>
      <c r="U430" s="145">
        <f>SUM(U427:U429)</f>
        <v>33545</v>
      </c>
      <c r="V430" s="145">
        <f>SUM(V427:V429)</f>
        <v>1520</v>
      </c>
      <c r="W430" s="145">
        <f>SUM(W427:W429)</f>
        <v>35065</v>
      </c>
      <c r="X430" s="128">
        <f>IF(U430=0," ",(W430-U430)/U430)</f>
        <v>4.5312267103890295E-2</v>
      </c>
      <c r="Z430" s="145">
        <f>SUM(Z427:Z429)</f>
        <v>35065</v>
      </c>
      <c r="AA430" s="145">
        <f>SUM(AA427:AA429)</f>
        <v>35065</v>
      </c>
      <c r="AC430" s="141"/>
      <c r="AE430" s="145">
        <f>SUM(AE427:AE429)</f>
        <v>35065</v>
      </c>
      <c r="AF430" s="145">
        <f>SUM(AF427:AF429)</f>
        <v>30885.040000000001</v>
      </c>
      <c r="AH430" s="145">
        <f>SUM(AH427:AH429)</f>
        <v>35065</v>
      </c>
      <c r="AI430" s="145">
        <f>SUM(AI427:AI429)</f>
        <v>-1710</v>
      </c>
      <c r="AJ430" s="145">
        <f>SUM(AJ427:AJ429)</f>
        <v>33355</v>
      </c>
      <c r="AK430" s="128">
        <f>IF(AH430=0," ",(AJ430-AH430)/AH430)</f>
        <v>-4.8766576358191926E-2</v>
      </c>
      <c r="AM430" s="145">
        <f>SUM(AM427:AM429)</f>
        <v>33355</v>
      </c>
      <c r="AN430" s="145">
        <f>SUM(AN427:AN429)</f>
        <v>33355</v>
      </c>
      <c r="AP430" s="141"/>
      <c r="AR430" s="145">
        <f>SUM(AR427:AR429)</f>
        <v>33355</v>
      </c>
      <c r="AS430" s="145">
        <f>SUM(AS427:AS429)</f>
        <v>37938.559999999998</v>
      </c>
      <c r="AU430" s="145">
        <f>SUM(AU427:AU429)</f>
        <v>33355</v>
      </c>
      <c r="AV430" s="145">
        <f>SUM(AV427:AV429)</f>
        <v>1329</v>
      </c>
      <c r="AW430" s="145">
        <f>SUM(AW427:AW429)</f>
        <v>34684</v>
      </c>
      <c r="AX430" s="128">
        <f>IF(AU430=0," ",(AW430-AU430)/AU430)</f>
        <v>3.9844101334132812E-2</v>
      </c>
      <c r="AZ430" s="145">
        <f>SUM(AZ427:AZ429)</f>
        <v>34559</v>
      </c>
      <c r="BA430" s="145">
        <f>SUM(BA427:BA429)</f>
        <v>44800</v>
      </c>
      <c r="BC430" s="141"/>
      <c r="BE430" s="145">
        <f>SUM(BE427:BE429)</f>
        <v>44800</v>
      </c>
      <c r="BF430" s="145">
        <f>SUM(BF427:BF429)</f>
        <v>36870.870000000003</v>
      </c>
      <c r="BH430" s="145">
        <f>SUM(BH427:BH429)</f>
        <v>44800</v>
      </c>
      <c r="BI430" s="145">
        <f>SUM(BI427:BI429)</f>
        <v>853</v>
      </c>
      <c r="BJ430" s="145">
        <f>SUM(BJ427:BJ429)</f>
        <v>45653</v>
      </c>
      <c r="BK430" s="128">
        <f>IF(BH430=0," ",(BJ430-BH430)/BH430)</f>
        <v>1.9040178571428572E-2</v>
      </c>
      <c r="BM430" s="145">
        <f>SUM(BM427:BM429)</f>
        <v>44122</v>
      </c>
      <c r="BN430" s="145">
        <f>SUM(BN427:BN429)</f>
        <v>34947</v>
      </c>
      <c r="BP430" s="141"/>
      <c r="BR430" s="145">
        <f>SUM(BR427:BR429)</f>
        <v>34947</v>
      </c>
      <c r="BS430" s="145">
        <f>SUM(BS427:BS429)</f>
        <v>14222.84</v>
      </c>
      <c r="BU430" s="145">
        <f>SUM(BU427:BU429)</f>
        <v>34947</v>
      </c>
      <c r="BV430" s="145">
        <f>SUM(BV427:BV429)</f>
        <v>229</v>
      </c>
      <c r="BW430" s="145">
        <f>SUM(BW427:BW429)</f>
        <v>35176</v>
      </c>
      <c r="BX430" s="596">
        <f>IF(BU430=0," ",(BW430-BU430)/BU430)</f>
        <v>6.5527799238847394E-3</v>
      </c>
      <c r="BZ430" s="145">
        <f>SUM(BZ427:BZ429)</f>
        <v>35176</v>
      </c>
      <c r="CA430" s="145">
        <f>SUM(CA427:CA429)</f>
        <v>36897</v>
      </c>
      <c r="CC430" s="770"/>
      <c r="CE430" s="145">
        <f>SUM(CE427:CE429)</f>
        <v>36897</v>
      </c>
      <c r="CF430" s="145">
        <f>SUM(CF427:CF429)</f>
        <v>0</v>
      </c>
      <c r="CJ430" s="886"/>
      <c r="CO430" s="16"/>
    </row>
    <row r="431" spans="1:93" x14ac:dyDescent="0.3">
      <c r="H431" s="26"/>
      <c r="AS431" s="26"/>
      <c r="BE431" s="26"/>
      <c r="BF431" s="26"/>
      <c r="BH431" s="26"/>
      <c r="BM431" s="26"/>
      <c r="BN431" s="26"/>
      <c r="BR431" s="26"/>
      <c r="BU431" s="26"/>
      <c r="BZ431" s="589"/>
      <c r="CA431" s="589"/>
      <c r="CE431" s="589"/>
      <c r="CF431" s="589"/>
      <c r="CJ431" s="886"/>
      <c r="CO431" s="16"/>
    </row>
    <row r="432" spans="1:93" s="19" customFormat="1" x14ac:dyDescent="0.3">
      <c r="A432" s="27"/>
      <c r="B432" s="8"/>
      <c r="C432" s="42"/>
      <c r="D432" s="42"/>
      <c r="E432" s="54"/>
      <c r="F432" s="8"/>
      <c r="G432" s="56" t="s">
        <v>173</v>
      </c>
      <c r="H432" s="28">
        <f>H425+H430</f>
        <v>135906</v>
      </c>
      <c r="I432" s="28">
        <f>I425+I430</f>
        <v>4395</v>
      </c>
      <c r="J432" s="28">
        <f>J425+J430</f>
        <v>140301</v>
      </c>
      <c r="K432" s="123">
        <f>IF(H432=0," ",(J432-H432)/H432)</f>
        <v>3.2338528100304624E-2</v>
      </c>
      <c r="M432" s="28">
        <f>M425+M430</f>
        <v>140301</v>
      </c>
      <c r="N432" s="28">
        <f>N425+N430</f>
        <v>140301</v>
      </c>
      <c r="P432" s="139">
        <f>P425+P430</f>
        <v>0</v>
      </c>
      <c r="R432" s="28">
        <f>R425+R430</f>
        <v>140301</v>
      </c>
      <c r="S432" s="28">
        <f>S425+S430</f>
        <v>138287.81</v>
      </c>
      <c r="U432" s="28">
        <f>U425+U430</f>
        <v>140301</v>
      </c>
      <c r="V432" s="28">
        <f>V425+V430</f>
        <v>5316</v>
      </c>
      <c r="W432" s="28">
        <f>W425+W430</f>
        <v>145617</v>
      </c>
      <c r="X432" s="123">
        <f>IF(U432=0," ",(W432-U432)/U432)</f>
        <v>3.7889965146363891E-2</v>
      </c>
      <c r="Z432" s="28">
        <f>Z425+Z430</f>
        <v>145617</v>
      </c>
      <c r="AA432" s="28">
        <f>AA425+AA430</f>
        <v>145617</v>
      </c>
      <c r="AC432" s="139"/>
      <c r="AE432" s="28">
        <f>AE425+AE430</f>
        <v>145617</v>
      </c>
      <c r="AF432" s="201">
        <f>AF425+AF430</f>
        <v>140918.03999999998</v>
      </c>
      <c r="AH432" s="28">
        <v>141917</v>
      </c>
      <c r="AI432" s="28">
        <f>AI425+AI430</f>
        <v>1583</v>
      </c>
      <c r="AJ432" s="28">
        <f>AJ425+AJ430</f>
        <v>147200</v>
      </c>
      <c r="AK432" s="123">
        <f>IF(AH432=0," ",(AJ432-AH432)/AH432)</f>
        <v>3.7225984202033581E-2</v>
      </c>
      <c r="AM432" s="28">
        <f>AM425+AM430</f>
        <v>147200</v>
      </c>
      <c r="AN432" s="28">
        <f>AN425+AN430</f>
        <v>147200</v>
      </c>
      <c r="AP432" s="139"/>
      <c r="AR432" s="28">
        <f>AR425+AR430</f>
        <v>147200</v>
      </c>
      <c r="AS432" s="28">
        <f>AS425+AS430</f>
        <v>137734.44</v>
      </c>
      <c r="AU432" s="28">
        <f>AU425+AU430</f>
        <v>147200</v>
      </c>
      <c r="AV432" s="28">
        <f>AV425+AV430</f>
        <v>3037</v>
      </c>
      <c r="AW432" s="28">
        <f>AW425+AW430</f>
        <v>150237</v>
      </c>
      <c r="AX432" s="123">
        <f>IF(AU432=0," ",(AW432-AU432)/AU432)</f>
        <v>2.0631793478260871E-2</v>
      </c>
      <c r="AZ432" s="28">
        <f>AZ425+AZ430</f>
        <v>150112</v>
      </c>
      <c r="BA432" s="28">
        <f>BA425+BA430</f>
        <v>131593</v>
      </c>
      <c r="BC432" s="139"/>
      <c r="BE432" s="28">
        <f>BE425+BE430</f>
        <v>131593</v>
      </c>
      <c r="BF432" s="28">
        <f>BF425+BF430</f>
        <v>122239.33000000002</v>
      </c>
      <c r="BG432" s="9"/>
      <c r="BH432" s="28">
        <f>BH425+BH430</f>
        <v>131593</v>
      </c>
      <c r="BI432" s="28">
        <f>BI425+BI430</f>
        <v>1314</v>
      </c>
      <c r="BJ432" s="28">
        <f>BJ425+BJ430</f>
        <v>132907</v>
      </c>
      <c r="BK432" s="123">
        <f>IF(BH432=0," ",(BJ432-BH432)/BH432)</f>
        <v>9.9853335663751108E-3</v>
      </c>
      <c r="BM432" s="28">
        <f>BM425+BM430</f>
        <v>131376</v>
      </c>
      <c r="BN432" s="28">
        <f>BN425+BN430</f>
        <v>145788</v>
      </c>
      <c r="BP432" s="139"/>
      <c r="BR432" s="28">
        <f>BR425+BR430</f>
        <v>145788</v>
      </c>
      <c r="BS432" s="28">
        <f>BS425+BS430</f>
        <v>65682.429999999993</v>
      </c>
      <c r="BT432" s="9"/>
      <c r="BU432" s="28">
        <f>BU425+BU430</f>
        <v>145788</v>
      </c>
      <c r="BV432" s="532">
        <f>BV425+BV430</f>
        <v>5588</v>
      </c>
      <c r="BW432" s="591">
        <f>BW425+BW430</f>
        <v>151376</v>
      </c>
      <c r="BX432" s="579">
        <f>IF(BU432=0," ",(BW432-BU432)/BU432)</f>
        <v>3.8329629324772956E-2</v>
      </c>
      <c r="BY432" s="580"/>
      <c r="BZ432" s="591">
        <f>BZ425+BZ430</f>
        <v>151376</v>
      </c>
      <c r="CA432" s="591">
        <f>CA425+CA430</f>
        <v>158047</v>
      </c>
      <c r="CB432" s="580"/>
      <c r="CC432" s="769"/>
      <c r="CD432" s="580"/>
      <c r="CE432" s="591">
        <f>CE425+CE430</f>
        <v>158047</v>
      </c>
      <c r="CF432" s="591">
        <f>CF425+CF430</f>
        <v>0</v>
      </c>
      <c r="CG432" s="9"/>
      <c r="CH432" s="815"/>
      <c r="CI432" s="815"/>
      <c r="CJ432" s="886"/>
      <c r="CO432" s="16"/>
    </row>
    <row r="433" spans="1:93" x14ac:dyDescent="0.3">
      <c r="H433" s="26"/>
      <c r="AS433" s="16"/>
      <c r="CJ433" s="886"/>
      <c r="CO433" s="16"/>
    </row>
    <row r="434" spans="1:93" x14ac:dyDescent="0.3">
      <c r="A434" s="11">
        <v>241</v>
      </c>
      <c r="B434" s="3" t="s">
        <v>2</v>
      </c>
      <c r="C434" s="37">
        <v>24105</v>
      </c>
      <c r="D434" s="37">
        <v>53050</v>
      </c>
      <c r="E434" s="49" t="s">
        <v>118</v>
      </c>
      <c r="G434" s="287" t="s">
        <v>909</v>
      </c>
      <c r="H434" s="26"/>
      <c r="AE434" s="268"/>
      <c r="AF434" s="197">
        <v>6580</v>
      </c>
      <c r="AH434" s="16">
        <v>0</v>
      </c>
      <c r="AI434" s="244"/>
      <c r="AJ434" s="16">
        <f t="shared" ref="AJ434:AJ442" si="226">AH434+AI434</f>
        <v>0</v>
      </c>
      <c r="AK434" s="122" t="str">
        <f t="shared" ref="AK434:AK442" si="227">IF(AH434=0," ",(AJ434-AH434)/AH434)</f>
        <v xml:space="preserve"> </v>
      </c>
      <c r="AM434" s="117">
        <v>10000</v>
      </c>
      <c r="AN434" s="117">
        <v>10000</v>
      </c>
      <c r="AP434" s="266" t="s">
        <v>867</v>
      </c>
      <c r="AR434" s="26">
        <v>10000</v>
      </c>
      <c r="AS434" s="26">
        <v>7970</v>
      </c>
      <c r="AU434" s="26">
        <f t="shared" ref="AU434:AU442" si="228">AR434</f>
        <v>10000</v>
      </c>
      <c r="AV434" s="244"/>
      <c r="AW434" s="16">
        <f>AU434+AV434</f>
        <v>10000</v>
      </c>
      <c r="AX434" s="122">
        <f>IF(AU434=0," ",(AW434-AU434)/AU434)</f>
        <v>0</v>
      </c>
      <c r="AZ434" s="117">
        <v>10000</v>
      </c>
      <c r="BA434" s="117">
        <v>10000</v>
      </c>
      <c r="BC434" s="266"/>
      <c r="BE434" s="26">
        <v>10000</v>
      </c>
      <c r="BF434" s="26">
        <v>9710</v>
      </c>
      <c r="BH434" s="26">
        <v>10000</v>
      </c>
      <c r="BI434" s="244"/>
      <c r="BJ434" s="16">
        <f>BH434+BI434</f>
        <v>10000</v>
      </c>
      <c r="BK434" s="122">
        <f>IF(BH434=0," ",(BJ434-BH434)/BH434)</f>
        <v>0</v>
      </c>
      <c r="BM434" s="117">
        <v>10000</v>
      </c>
      <c r="BN434" s="117">
        <v>10000</v>
      </c>
      <c r="BP434" s="259"/>
      <c r="BR434" s="117">
        <v>10000</v>
      </c>
      <c r="BS434" s="16">
        <v>4000</v>
      </c>
      <c r="BU434" s="26">
        <v>10000</v>
      </c>
      <c r="BV434" s="244"/>
      <c r="BW434" s="576">
        <f>BU434+BV434</f>
        <v>10000</v>
      </c>
      <c r="BX434" s="577">
        <f>IF(BU434=0," ",(BW434-BU434)/BU434)</f>
        <v>0</v>
      </c>
      <c r="BZ434" s="166">
        <v>10000</v>
      </c>
      <c r="CA434" s="166">
        <v>10000</v>
      </c>
      <c r="CC434" s="753"/>
      <c r="CE434" s="166">
        <v>10000</v>
      </c>
      <c r="CF434" s="166"/>
      <c r="CJ434" s="886"/>
      <c r="CO434" s="16"/>
    </row>
    <row r="435" spans="1:93" x14ac:dyDescent="0.3">
      <c r="A435" s="11">
        <v>241</v>
      </c>
      <c r="B435" s="3" t="s">
        <v>2</v>
      </c>
      <c r="C435" s="37">
        <v>24105</v>
      </c>
      <c r="D435" s="37">
        <v>53050</v>
      </c>
      <c r="E435" s="49" t="s">
        <v>118</v>
      </c>
      <c r="G435" s="3" t="s">
        <v>1470</v>
      </c>
      <c r="H435" s="26"/>
      <c r="AE435" s="268"/>
      <c r="AI435" s="244"/>
      <c r="AM435" s="117"/>
      <c r="AN435" s="117"/>
      <c r="AP435" s="266"/>
      <c r="AR435" s="26"/>
      <c r="AS435" s="26"/>
      <c r="AU435" s="26"/>
      <c r="AV435" s="244"/>
      <c r="AZ435" s="117"/>
      <c r="BA435" s="117"/>
      <c r="BC435" s="266"/>
      <c r="BE435" s="26"/>
      <c r="BF435" s="26"/>
      <c r="BH435" s="26"/>
      <c r="BI435" s="244"/>
      <c r="BM435" s="117"/>
      <c r="BN435" s="117"/>
      <c r="BP435" s="259"/>
      <c r="BR435" s="117"/>
      <c r="BS435" s="16">
        <v>1066.29</v>
      </c>
      <c r="BU435" s="26"/>
      <c r="BV435" s="244"/>
      <c r="BZ435" s="166"/>
      <c r="CA435" s="166"/>
      <c r="CC435" s="753"/>
      <c r="CE435" s="166"/>
      <c r="CF435" s="166"/>
      <c r="CJ435" s="886"/>
      <c r="CO435" s="16"/>
    </row>
    <row r="436" spans="1:93" x14ac:dyDescent="0.3">
      <c r="A436" s="11">
        <v>241</v>
      </c>
      <c r="B436" s="3" t="s">
        <v>2</v>
      </c>
      <c r="C436" s="37">
        <v>24105</v>
      </c>
      <c r="D436" s="37">
        <v>53400</v>
      </c>
      <c r="E436" s="49" t="s">
        <v>118</v>
      </c>
      <c r="F436" s="3" t="s">
        <v>2</v>
      </c>
      <c r="G436" s="3" t="s">
        <v>794</v>
      </c>
      <c r="H436" s="26">
        <v>279</v>
      </c>
      <c r="I436" s="244">
        <v>21</v>
      </c>
      <c r="J436" s="16">
        <f t="shared" ref="J436:J442" si="229">H436+I436</f>
        <v>300</v>
      </c>
      <c r="K436" s="122">
        <f t="shared" ref="K436:K442" si="230">IF(H436=0," ",(J436-H436)/H436)</f>
        <v>7.5268817204301078E-2</v>
      </c>
      <c r="M436" s="117">
        <v>300</v>
      </c>
      <c r="N436" s="117">
        <v>300</v>
      </c>
      <c r="P436" s="259"/>
      <c r="R436" s="26">
        <v>300</v>
      </c>
      <c r="S436" s="26">
        <v>0</v>
      </c>
      <c r="U436" s="26">
        <v>300</v>
      </c>
      <c r="V436" s="244">
        <v>0</v>
      </c>
      <c r="W436" s="16">
        <f t="shared" ref="W436:W442" si="231">U436+V436</f>
        <v>300</v>
      </c>
      <c r="X436" s="122">
        <f t="shared" ref="X436:X442" si="232">IF(U436=0," ",(W436-U436)/U436)</f>
        <v>0</v>
      </c>
      <c r="Z436" s="117">
        <v>300</v>
      </c>
      <c r="AA436" s="117">
        <v>300</v>
      </c>
      <c r="AC436" s="259"/>
      <c r="AE436" s="26">
        <v>300</v>
      </c>
      <c r="AF436" s="200">
        <v>0</v>
      </c>
      <c r="AH436" s="26">
        <v>300</v>
      </c>
      <c r="AI436" s="244"/>
      <c r="AJ436" s="16">
        <f t="shared" si="226"/>
        <v>300</v>
      </c>
      <c r="AK436" s="122">
        <f t="shared" si="227"/>
        <v>0</v>
      </c>
      <c r="AM436" s="117">
        <v>300</v>
      </c>
      <c r="AN436" s="117">
        <v>300</v>
      </c>
      <c r="AP436" s="259"/>
      <c r="AR436" s="26">
        <v>300</v>
      </c>
      <c r="AS436" s="26">
        <v>0</v>
      </c>
      <c r="AU436" s="26">
        <f t="shared" si="228"/>
        <v>300</v>
      </c>
      <c r="AV436" s="244">
        <v>200</v>
      </c>
      <c r="AW436" s="16">
        <f t="shared" ref="AW436:AW442" si="233">AU436+AV436</f>
        <v>500</v>
      </c>
      <c r="AX436" s="122">
        <f t="shared" ref="AX436:AX442" si="234">IF(AU436=0," ",(AW436-AU436)/AU436)</f>
        <v>0.66666666666666663</v>
      </c>
      <c r="AZ436" s="117">
        <v>500</v>
      </c>
      <c r="BA436" s="117">
        <f>500+400</f>
        <v>900</v>
      </c>
      <c r="BC436" s="266" t="s">
        <v>994</v>
      </c>
      <c r="BE436" s="26">
        <f>500+400</f>
        <v>900</v>
      </c>
      <c r="BF436" s="26">
        <v>831.51</v>
      </c>
      <c r="BH436" s="26">
        <f>500+400</f>
        <v>900</v>
      </c>
      <c r="BI436" s="244"/>
      <c r="BJ436" s="16">
        <f t="shared" ref="BJ436:BJ442" si="235">BH436+BI436</f>
        <v>900</v>
      </c>
      <c r="BK436" s="122">
        <f t="shared" ref="BK436:BK442" si="236">IF(BH436=0," ",(BJ436-BH436)/BH436)</f>
        <v>0</v>
      </c>
      <c r="BM436" s="117">
        <v>900</v>
      </c>
      <c r="BN436" s="117">
        <v>900</v>
      </c>
      <c r="BP436" s="259"/>
      <c r="BR436" s="117">
        <v>900</v>
      </c>
      <c r="BS436" s="26">
        <v>465.41</v>
      </c>
      <c r="BU436" s="26">
        <v>900</v>
      </c>
      <c r="BV436" s="244"/>
      <c r="BW436" s="576">
        <f t="shared" ref="BW436:BW442" si="237">BU436+BV436</f>
        <v>900</v>
      </c>
      <c r="BX436" s="577">
        <f t="shared" ref="BX436:BX442" si="238">IF(BU436=0," ",(BW436-BU436)/BU436)</f>
        <v>0</v>
      </c>
      <c r="BZ436" s="166">
        <v>900</v>
      </c>
      <c r="CA436" s="166">
        <v>900</v>
      </c>
      <c r="CC436" s="753"/>
      <c r="CE436" s="166">
        <v>900</v>
      </c>
      <c r="CF436" s="166"/>
      <c r="CJ436" s="886"/>
      <c r="CO436" s="16"/>
    </row>
    <row r="437" spans="1:93" x14ac:dyDescent="0.3">
      <c r="A437" s="11">
        <v>241</v>
      </c>
      <c r="B437" s="3" t="s">
        <v>2</v>
      </c>
      <c r="C437" s="37">
        <v>24105</v>
      </c>
      <c r="D437" s="37">
        <v>53430</v>
      </c>
      <c r="E437" s="49" t="s">
        <v>118</v>
      </c>
      <c r="F437" s="3" t="s">
        <v>2</v>
      </c>
      <c r="G437" s="3" t="s">
        <v>795</v>
      </c>
      <c r="H437" s="26">
        <v>65</v>
      </c>
      <c r="I437" s="244"/>
      <c r="J437" s="16">
        <f t="shared" si="229"/>
        <v>65</v>
      </c>
      <c r="K437" s="122">
        <f t="shared" si="230"/>
        <v>0</v>
      </c>
      <c r="M437" s="117">
        <v>65</v>
      </c>
      <c r="N437" s="117">
        <v>65</v>
      </c>
      <c r="P437" s="259"/>
      <c r="R437" s="26">
        <v>65</v>
      </c>
      <c r="S437" s="26">
        <v>0</v>
      </c>
      <c r="U437" s="26">
        <v>65</v>
      </c>
      <c r="V437" s="244">
        <v>0</v>
      </c>
      <c r="W437" s="16">
        <f t="shared" si="231"/>
        <v>65</v>
      </c>
      <c r="X437" s="122">
        <f t="shared" si="232"/>
        <v>0</v>
      </c>
      <c r="Z437" s="117">
        <v>65</v>
      </c>
      <c r="AA437" s="117">
        <v>65</v>
      </c>
      <c r="AC437" s="259"/>
      <c r="AE437" s="26">
        <v>65</v>
      </c>
      <c r="AF437" s="200">
        <v>2.5</v>
      </c>
      <c r="AH437" s="26">
        <v>65</v>
      </c>
      <c r="AI437" s="244"/>
      <c r="AJ437" s="16">
        <f t="shared" si="226"/>
        <v>65</v>
      </c>
      <c r="AK437" s="122">
        <f t="shared" si="227"/>
        <v>0</v>
      </c>
      <c r="AM437" s="117">
        <v>65</v>
      </c>
      <c r="AN437" s="117">
        <v>65</v>
      </c>
      <c r="AP437" s="259"/>
      <c r="AR437" s="26">
        <v>65</v>
      </c>
      <c r="AS437" s="26">
        <v>78.3</v>
      </c>
      <c r="AU437" s="26">
        <f t="shared" si="228"/>
        <v>65</v>
      </c>
      <c r="AV437" s="244"/>
      <c r="AW437" s="16">
        <f t="shared" si="233"/>
        <v>65</v>
      </c>
      <c r="AX437" s="122">
        <f t="shared" si="234"/>
        <v>0</v>
      </c>
      <c r="AZ437" s="117">
        <v>65</v>
      </c>
      <c r="BA437" s="117">
        <v>65</v>
      </c>
      <c r="BC437" s="259"/>
      <c r="BE437" s="26">
        <v>65</v>
      </c>
      <c r="BF437" s="26">
        <v>49.43</v>
      </c>
      <c r="BH437" s="26">
        <v>65</v>
      </c>
      <c r="BI437" s="244"/>
      <c r="BJ437" s="16">
        <f t="shared" si="235"/>
        <v>65</v>
      </c>
      <c r="BK437" s="122">
        <f t="shared" si="236"/>
        <v>0</v>
      </c>
      <c r="BM437" s="117">
        <v>65</v>
      </c>
      <c r="BN437" s="117">
        <v>65</v>
      </c>
      <c r="BP437" s="259"/>
      <c r="BR437" s="117">
        <v>65</v>
      </c>
      <c r="BS437" s="26">
        <v>15.33</v>
      </c>
      <c r="BU437" s="26">
        <v>65</v>
      </c>
      <c r="BV437" s="244"/>
      <c r="BW437" s="576">
        <f t="shared" si="237"/>
        <v>65</v>
      </c>
      <c r="BX437" s="577">
        <f t="shared" si="238"/>
        <v>0</v>
      </c>
      <c r="BZ437" s="166">
        <v>65</v>
      </c>
      <c r="CA437" s="166">
        <v>65</v>
      </c>
      <c r="CC437" s="753"/>
      <c r="CE437" s="166">
        <v>65</v>
      </c>
      <c r="CF437" s="166"/>
      <c r="CJ437" s="886"/>
      <c r="CO437" s="16"/>
    </row>
    <row r="438" spans="1:93" x14ac:dyDescent="0.3">
      <c r="A438" s="11">
        <v>241</v>
      </c>
      <c r="B438" s="3" t="s">
        <v>2</v>
      </c>
      <c r="C438" s="37">
        <v>24105</v>
      </c>
      <c r="D438" s="37">
        <v>54200</v>
      </c>
      <c r="E438" s="49" t="s">
        <v>118</v>
      </c>
      <c r="F438" s="3" t="s">
        <v>2</v>
      </c>
      <c r="G438" s="3" t="s">
        <v>796</v>
      </c>
      <c r="H438" s="26">
        <v>500</v>
      </c>
      <c r="I438" s="244">
        <v>100</v>
      </c>
      <c r="J438" s="16">
        <f t="shared" si="229"/>
        <v>600</v>
      </c>
      <c r="K438" s="122">
        <f t="shared" si="230"/>
        <v>0.2</v>
      </c>
      <c r="M438" s="117">
        <v>600</v>
      </c>
      <c r="N438" s="117">
        <v>600</v>
      </c>
      <c r="P438" s="259"/>
      <c r="R438" s="26">
        <v>600</v>
      </c>
      <c r="S438" s="26">
        <v>579.54999999999995</v>
      </c>
      <c r="U438" s="26">
        <v>600</v>
      </c>
      <c r="V438" s="244">
        <v>0</v>
      </c>
      <c r="W438" s="16">
        <f t="shared" si="231"/>
        <v>600</v>
      </c>
      <c r="X438" s="122">
        <f t="shared" si="232"/>
        <v>0</v>
      </c>
      <c r="Z438" s="117">
        <v>600</v>
      </c>
      <c r="AA438" s="117">
        <v>600</v>
      </c>
      <c r="AC438" s="259"/>
      <c r="AE438" s="26">
        <v>600</v>
      </c>
      <c r="AF438" s="200">
        <v>379.74</v>
      </c>
      <c r="AH438" s="26">
        <v>600</v>
      </c>
      <c r="AI438" s="244"/>
      <c r="AJ438" s="16">
        <f t="shared" si="226"/>
        <v>600</v>
      </c>
      <c r="AK438" s="122">
        <f t="shared" si="227"/>
        <v>0</v>
      </c>
      <c r="AM438" s="117">
        <v>600</v>
      </c>
      <c r="AN438" s="117">
        <v>600</v>
      </c>
      <c r="AP438" s="259"/>
      <c r="AR438" s="26">
        <v>600</v>
      </c>
      <c r="AS438" s="26">
        <v>234.04</v>
      </c>
      <c r="AU438" s="26">
        <f t="shared" si="228"/>
        <v>600</v>
      </c>
      <c r="AV438" s="244"/>
      <c r="AW438" s="16">
        <f t="shared" si="233"/>
        <v>600</v>
      </c>
      <c r="AX438" s="122">
        <f t="shared" si="234"/>
        <v>0</v>
      </c>
      <c r="AZ438" s="117">
        <v>600</v>
      </c>
      <c r="BA438" s="117">
        <v>600</v>
      </c>
      <c r="BC438" s="259"/>
      <c r="BE438" s="26">
        <v>600</v>
      </c>
      <c r="BF438" s="26">
        <v>99.19</v>
      </c>
      <c r="BH438" s="26">
        <v>600</v>
      </c>
      <c r="BI438" s="244"/>
      <c r="BJ438" s="16">
        <f t="shared" si="235"/>
        <v>600</v>
      </c>
      <c r="BK438" s="122">
        <f t="shared" si="236"/>
        <v>0</v>
      </c>
      <c r="BM438" s="117">
        <v>600</v>
      </c>
      <c r="BN438" s="117">
        <v>600</v>
      </c>
      <c r="BP438" s="259"/>
      <c r="BR438" s="117">
        <v>600</v>
      </c>
      <c r="BS438" s="26">
        <v>217.87</v>
      </c>
      <c r="BU438" s="26">
        <v>600</v>
      </c>
      <c r="BV438" s="244"/>
      <c r="BW438" s="576">
        <f t="shared" si="237"/>
        <v>600</v>
      </c>
      <c r="BX438" s="577">
        <f t="shared" si="238"/>
        <v>0</v>
      </c>
      <c r="BZ438" s="166">
        <v>600</v>
      </c>
      <c r="CA438" s="166">
        <v>600</v>
      </c>
      <c r="CC438" s="753"/>
      <c r="CE438" s="166">
        <v>600</v>
      </c>
      <c r="CF438" s="166"/>
      <c r="CJ438" s="886"/>
      <c r="CO438" s="16"/>
    </row>
    <row r="439" spans="1:93" x14ac:dyDescent="0.3">
      <c r="A439" s="11">
        <v>241</v>
      </c>
      <c r="B439" s="3" t="s">
        <v>2</v>
      </c>
      <c r="C439" s="37">
        <v>24105</v>
      </c>
      <c r="D439" s="37">
        <v>54210</v>
      </c>
      <c r="E439" s="49" t="s">
        <v>118</v>
      </c>
      <c r="F439" s="3" t="s">
        <v>2</v>
      </c>
      <c r="G439" s="3" t="s">
        <v>797</v>
      </c>
      <c r="H439" s="26">
        <v>222</v>
      </c>
      <c r="I439" s="244">
        <v>-22</v>
      </c>
      <c r="J439" s="16">
        <f t="shared" si="229"/>
        <v>200</v>
      </c>
      <c r="K439" s="122">
        <f t="shared" si="230"/>
        <v>-9.90990990990991E-2</v>
      </c>
      <c r="M439" s="117">
        <v>200</v>
      </c>
      <c r="N439" s="117">
        <v>200</v>
      </c>
      <c r="P439" s="259"/>
      <c r="R439" s="26">
        <v>200</v>
      </c>
      <c r="S439" s="26">
        <v>34</v>
      </c>
      <c r="U439" s="26">
        <v>200</v>
      </c>
      <c r="V439" s="244">
        <v>0</v>
      </c>
      <c r="W439" s="16">
        <f t="shared" si="231"/>
        <v>200</v>
      </c>
      <c r="X439" s="122">
        <f t="shared" si="232"/>
        <v>0</v>
      </c>
      <c r="Z439" s="117">
        <v>200</v>
      </c>
      <c r="AA439" s="117">
        <v>200</v>
      </c>
      <c r="AC439" s="259"/>
      <c r="AE439" s="26">
        <v>200</v>
      </c>
      <c r="AF439" s="200">
        <v>84</v>
      </c>
      <c r="AH439" s="26">
        <v>200</v>
      </c>
      <c r="AI439" s="244"/>
      <c r="AJ439" s="16">
        <f t="shared" si="226"/>
        <v>200</v>
      </c>
      <c r="AK439" s="122">
        <f t="shared" si="227"/>
        <v>0</v>
      </c>
      <c r="AM439" s="117">
        <v>200</v>
      </c>
      <c r="AN439" s="117">
        <v>200</v>
      </c>
      <c r="AP439" s="259"/>
      <c r="AR439" s="26">
        <v>200</v>
      </c>
      <c r="AS439" s="26">
        <v>50</v>
      </c>
      <c r="AU439" s="26">
        <f t="shared" si="228"/>
        <v>200</v>
      </c>
      <c r="AV439" s="244">
        <v>-200</v>
      </c>
      <c r="AW439" s="16">
        <f t="shared" si="233"/>
        <v>0</v>
      </c>
      <c r="AX439" s="122">
        <f t="shared" si="234"/>
        <v>-1</v>
      </c>
      <c r="AZ439" s="117"/>
      <c r="BA439" s="117"/>
      <c r="BC439" s="259"/>
      <c r="BE439" s="26"/>
      <c r="BF439" s="26"/>
      <c r="BH439" s="26"/>
      <c r="BI439" s="244"/>
      <c r="BJ439" s="16">
        <f t="shared" si="235"/>
        <v>0</v>
      </c>
      <c r="BK439" s="122" t="str">
        <f t="shared" si="236"/>
        <v xml:space="preserve"> </v>
      </c>
      <c r="BM439" s="117">
        <v>0</v>
      </c>
      <c r="BN439" s="117">
        <v>0</v>
      </c>
      <c r="BP439" s="259"/>
      <c r="BR439" s="117">
        <v>0</v>
      </c>
      <c r="BS439" s="26"/>
      <c r="BU439" s="26">
        <v>0</v>
      </c>
      <c r="BV439" s="244"/>
      <c r="BW439" s="576">
        <f t="shared" si="237"/>
        <v>0</v>
      </c>
      <c r="BX439" s="577" t="str">
        <f t="shared" si="238"/>
        <v xml:space="preserve"> </v>
      </c>
      <c r="BZ439" s="166">
        <v>0</v>
      </c>
      <c r="CA439" s="166">
        <v>0</v>
      </c>
      <c r="CC439" s="753"/>
      <c r="CE439" s="166">
        <v>0</v>
      </c>
      <c r="CF439" s="166"/>
      <c r="CJ439" s="886"/>
      <c r="CO439" s="16"/>
    </row>
    <row r="440" spans="1:93" x14ac:dyDescent="0.3">
      <c r="A440" s="11">
        <v>241</v>
      </c>
      <c r="B440" s="3" t="s">
        <v>2</v>
      </c>
      <c r="C440" s="37">
        <v>24105</v>
      </c>
      <c r="D440" s="37">
        <v>55800</v>
      </c>
      <c r="E440" s="49" t="s">
        <v>118</v>
      </c>
      <c r="F440" s="3" t="s">
        <v>2</v>
      </c>
      <c r="G440" s="3" t="s">
        <v>798</v>
      </c>
      <c r="H440" s="26">
        <v>558</v>
      </c>
      <c r="I440" s="244">
        <v>92</v>
      </c>
      <c r="J440" s="16">
        <f t="shared" si="229"/>
        <v>650</v>
      </c>
      <c r="K440" s="122">
        <f t="shared" si="230"/>
        <v>0.16487455197132617</v>
      </c>
      <c r="M440" s="117">
        <v>650</v>
      </c>
      <c r="N440" s="117">
        <v>650</v>
      </c>
      <c r="P440" s="259"/>
      <c r="R440" s="26">
        <v>650</v>
      </c>
      <c r="S440" s="26">
        <v>99.49</v>
      </c>
      <c r="U440" s="26">
        <v>650</v>
      </c>
      <c r="V440" s="244">
        <v>0</v>
      </c>
      <c r="W440" s="16">
        <f t="shared" si="231"/>
        <v>650</v>
      </c>
      <c r="X440" s="122">
        <f t="shared" si="232"/>
        <v>0</v>
      </c>
      <c r="Z440" s="117">
        <v>650</v>
      </c>
      <c r="AA440" s="117">
        <v>650</v>
      </c>
      <c r="AC440" s="259"/>
      <c r="AE440" s="26">
        <v>650</v>
      </c>
      <c r="AF440" s="200">
        <v>135</v>
      </c>
      <c r="AH440" s="26">
        <v>650</v>
      </c>
      <c r="AI440" s="244"/>
      <c r="AJ440" s="16">
        <f t="shared" si="226"/>
        <v>650</v>
      </c>
      <c r="AK440" s="122">
        <f t="shared" si="227"/>
        <v>0</v>
      </c>
      <c r="AM440" s="117">
        <v>650</v>
      </c>
      <c r="AN440" s="117">
        <v>650</v>
      </c>
      <c r="AP440" s="259"/>
      <c r="AR440" s="26">
        <v>650</v>
      </c>
      <c r="AS440" s="26">
        <v>0</v>
      </c>
      <c r="AU440" s="26">
        <f t="shared" si="228"/>
        <v>650</v>
      </c>
      <c r="AV440" s="244"/>
      <c r="AW440" s="16">
        <f t="shared" si="233"/>
        <v>650</v>
      </c>
      <c r="AX440" s="122">
        <f t="shared" si="234"/>
        <v>0</v>
      </c>
      <c r="AZ440" s="117">
        <v>650</v>
      </c>
      <c r="BA440" s="117">
        <f>650+350</f>
        <v>1000</v>
      </c>
      <c r="BC440" s="266" t="s">
        <v>993</v>
      </c>
      <c r="BE440" s="26">
        <f>650+350</f>
        <v>1000</v>
      </c>
      <c r="BF440" s="26">
        <v>509.66</v>
      </c>
      <c r="BH440" s="26">
        <f>650+350</f>
        <v>1000</v>
      </c>
      <c r="BI440" s="244"/>
      <c r="BJ440" s="16">
        <f t="shared" si="235"/>
        <v>1000</v>
      </c>
      <c r="BK440" s="122">
        <f t="shared" si="236"/>
        <v>0</v>
      </c>
      <c r="BM440" s="117">
        <v>1000</v>
      </c>
      <c r="BN440" s="117">
        <v>1000</v>
      </c>
      <c r="BP440" s="259"/>
      <c r="BR440" s="117">
        <v>1000</v>
      </c>
      <c r="BS440" s="26">
        <v>60</v>
      </c>
      <c r="BU440" s="26">
        <v>1000</v>
      </c>
      <c r="BV440" s="244"/>
      <c r="BW440" s="576">
        <f t="shared" si="237"/>
        <v>1000</v>
      </c>
      <c r="BX440" s="577">
        <f t="shared" si="238"/>
        <v>0</v>
      </c>
      <c r="BZ440" s="166">
        <v>1000</v>
      </c>
      <c r="CA440" s="166">
        <v>1000</v>
      </c>
      <c r="CC440" s="753"/>
      <c r="CE440" s="166">
        <v>1000</v>
      </c>
      <c r="CF440" s="166"/>
      <c r="CJ440" s="886"/>
      <c r="CO440" s="16"/>
    </row>
    <row r="441" spans="1:93" x14ac:dyDescent="0.3">
      <c r="A441" s="11">
        <v>241</v>
      </c>
      <c r="B441" s="3" t="s">
        <v>2</v>
      </c>
      <c r="C441" s="37">
        <v>24105</v>
      </c>
      <c r="D441" s="37">
        <v>57300</v>
      </c>
      <c r="E441" s="49" t="s">
        <v>118</v>
      </c>
      <c r="F441" s="3" t="s">
        <v>2</v>
      </c>
      <c r="G441" s="3" t="s">
        <v>800</v>
      </c>
      <c r="H441" s="26">
        <v>284</v>
      </c>
      <c r="I441" s="244">
        <v>16</v>
      </c>
      <c r="J441" s="16">
        <f t="shared" si="229"/>
        <v>300</v>
      </c>
      <c r="K441" s="122">
        <f t="shared" si="230"/>
        <v>5.6338028169014086E-2</v>
      </c>
      <c r="M441" s="117">
        <v>300</v>
      </c>
      <c r="N441" s="117">
        <v>300</v>
      </c>
      <c r="P441" s="259"/>
      <c r="R441" s="26">
        <v>300</v>
      </c>
      <c r="S441" s="26">
        <v>170</v>
      </c>
      <c r="U441" s="26">
        <v>300</v>
      </c>
      <c r="V441" s="244">
        <v>0</v>
      </c>
      <c r="W441" s="16">
        <f t="shared" si="231"/>
        <v>300</v>
      </c>
      <c r="X441" s="122">
        <f t="shared" si="232"/>
        <v>0</v>
      </c>
      <c r="Z441" s="117">
        <v>300</v>
      </c>
      <c r="AA441" s="117">
        <v>300</v>
      </c>
      <c r="AC441" s="259"/>
      <c r="AE441" s="26">
        <v>300</v>
      </c>
      <c r="AF441" s="200">
        <v>350</v>
      </c>
      <c r="AH441" s="26">
        <v>300</v>
      </c>
      <c r="AI441" s="244"/>
      <c r="AJ441" s="16">
        <f t="shared" si="226"/>
        <v>300</v>
      </c>
      <c r="AK441" s="122">
        <f t="shared" si="227"/>
        <v>0</v>
      </c>
      <c r="AM441" s="117">
        <v>300</v>
      </c>
      <c r="AN441" s="117">
        <v>300</v>
      </c>
      <c r="AP441" s="259"/>
      <c r="AR441" s="26">
        <v>300</v>
      </c>
      <c r="AS441" s="26">
        <v>975</v>
      </c>
      <c r="AU441" s="26">
        <f t="shared" si="228"/>
        <v>300</v>
      </c>
      <c r="AV441" s="244"/>
      <c r="AW441" s="16">
        <f t="shared" si="233"/>
        <v>300</v>
      </c>
      <c r="AX441" s="122">
        <f t="shared" si="234"/>
        <v>0</v>
      </c>
      <c r="AZ441" s="117">
        <v>300</v>
      </c>
      <c r="BA441" s="117">
        <v>300</v>
      </c>
      <c r="BC441" s="259"/>
      <c r="BE441" s="26">
        <v>300</v>
      </c>
      <c r="BF441" s="26">
        <v>145</v>
      </c>
      <c r="BH441" s="26">
        <v>300</v>
      </c>
      <c r="BI441" s="244"/>
      <c r="BJ441" s="16">
        <f t="shared" si="235"/>
        <v>300</v>
      </c>
      <c r="BK441" s="122">
        <f t="shared" si="236"/>
        <v>0</v>
      </c>
      <c r="BM441" s="117">
        <v>300</v>
      </c>
      <c r="BN441" s="117">
        <v>300</v>
      </c>
      <c r="BP441" s="259"/>
      <c r="BR441" s="117">
        <v>300</v>
      </c>
      <c r="BS441" s="26"/>
      <c r="BU441" s="26">
        <v>300</v>
      </c>
      <c r="BV441" s="244"/>
      <c r="BW441" s="576">
        <f t="shared" si="237"/>
        <v>300</v>
      </c>
      <c r="BX441" s="577">
        <f t="shared" si="238"/>
        <v>0</v>
      </c>
      <c r="BZ441" s="166">
        <v>300</v>
      </c>
      <c r="CA441" s="166">
        <v>300</v>
      </c>
      <c r="CC441" s="753"/>
      <c r="CE441" s="166">
        <v>300</v>
      </c>
      <c r="CF441" s="166"/>
      <c r="CJ441" s="886"/>
      <c r="CO441" s="16"/>
    </row>
    <row r="442" spans="1:93" x14ac:dyDescent="0.3">
      <c r="A442" s="11">
        <v>241</v>
      </c>
      <c r="B442" s="3" t="s">
        <v>2</v>
      </c>
      <c r="C442" s="37">
        <v>24105</v>
      </c>
      <c r="D442" s="37">
        <v>58510</v>
      </c>
      <c r="E442" s="49" t="s">
        <v>118</v>
      </c>
      <c r="F442" s="3" t="s">
        <v>2</v>
      </c>
      <c r="G442" s="3" t="s">
        <v>801</v>
      </c>
      <c r="H442" s="26">
        <v>451</v>
      </c>
      <c r="I442" s="244">
        <v>149</v>
      </c>
      <c r="J442" s="16">
        <f t="shared" si="229"/>
        <v>600</v>
      </c>
      <c r="K442" s="122">
        <f t="shared" si="230"/>
        <v>0.3303769401330377</v>
      </c>
      <c r="M442" s="117">
        <v>600</v>
      </c>
      <c r="N442" s="117">
        <v>600</v>
      </c>
      <c r="P442" s="259"/>
      <c r="R442" s="26">
        <v>600</v>
      </c>
      <c r="S442" s="26">
        <v>1897.98</v>
      </c>
      <c r="U442" s="26">
        <v>600</v>
      </c>
      <c r="V442" s="244">
        <v>0</v>
      </c>
      <c r="W442" s="16">
        <f t="shared" si="231"/>
        <v>600</v>
      </c>
      <c r="X442" s="122">
        <f t="shared" si="232"/>
        <v>0</v>
      </c>
      <c r="Z442" s="117">
        <v>600</v>
      </c>
      <c r="AA442" s="117">
        <v>600</v>
      </c>
      <c r="AC442" s="259"/>
      <c r="AE442" s="26">
        <v>600</v>
      </c>
      <c r="AF442" s="200">
        <v>761.06</v>
      </c>
      <c r="AH442" s="26">
        <v>600</v>
      </c>
      <c r="AI442" s="244"/>
      <c r="AJ442" s="16">
        <f t="shared" si="226"/>
        <v>600</v>
      </c>
      <c r="AK442" s="122">
        <f t="shared" si="227"/>
        <v>0</v>
      </c>
      <c r="AM442" s="117">
        <v>600</v>
      </c>
      <c r="AN442" s="117">
        <v>600</v>
      </c>
      <c r="AP442" s="259"/>
      <c r="AR442" s="26">
        <v>600</v>
      </c>
      <c r="AS442" s="26">
        <v>14.99</v>
      </c>
      <c r="AU442" s="26">
        <f t="shared" si="228"/>
        <v>600</v>
      </c>
      <c r="AV442" s="244"/>
      <c r="AW442" s="16">
        <f t="shared" si="233"/>
        <v>600</v>
      </c>
      <c r="AX442" s="122">
        <f t="shared" si="234"/>
        <v>0</v>
      </c>
      <c r="AZ442" s="117">
        <v>600</v>
      </c>
      <c r="BA442" s="117">
        <v>600</v>
      </c>
      <c r="BC442" s="259"/>
      <c r="BE442" s="26">
        <v>600</v>
      </c>
      <c r="BF442" s="26"/>
      <c r="BH442" s="26">
        <v>600</v>
      </c>
      <c r="BI442" s="244"/>
      <c r="BJ442" s="16">
        <f t="shared" si="235"/>
        <v>600</v>
      </c>
      <c r="BK442" s="122">
        <f t="shared" si="236"/>
        <v>0</v>
      </c>
      <c r="BM442" s="117">
        <v>600</v>
      </c>
      <c r="BN442" s="117">
        <v>600</v>
      </c>
      <c r="BP442" s="259"/>
      <c r="BR442" s="117">
        <v>600</v>
      </c>
      <c r="BS442" s="26"/>
      <c r="BU442" s="26">
        <v>600</v>
      </c>
      <c r="BV442" s="244"/>
      <c r="BW442" s="576">
        <f t="shared" si="237"/>
        <v>600</v>
      </c>
      <c r="BX442" s="577">
        <f t="shared" si="238"/>
        <v>0</v>
      </c>
      <c r="BZ442" s="166">
        <v>600</v>
      </c>
      <c r="CA442" s="166">
        <v>600</v>
      </c>
      <c r="CC442" s="753"/>
      <c r="CE442" s="166">
        <v>600</v>
      </c>
      <c r="CF442" s="166"/>
      <c r="CJ442" s="886"/>
      <c r="CO442" s="16"/>
    </row>
    <row r="443" spans="1:93" s="19" customFormat="1" x14ac:dyDescent="0.3">
      <c r="A443" s="27"/>
      <c r="B443" s="8"/>
      <c r="C443" s="42"/>
      <c r="D443" s="42"/>
      <c r="E443" s="54"/>
      <c r="F443" s="8"/>
      <c r="G443" s="8" t="s">
        <v>175</v>
      </c>
      <c r="H443" s="28">
        <f>SUM(H436:H442)</f>
        <v>2359</v>
      </c>
      <c r="I443" s="28">
        <f>SUM(I436:I442)</f>
        <v>356</v>
      </c>
      <c r="J443" s="28">
        <f>SUM(J436:J442)</f>
        <v>2715</v>
      </c>
      <c r="K443" s="123">
        <f>IF(H443=0," ",(J443-H443)/H443)</f>
        <v>0.15091140313692242</v>
      </c>
      <c r="M443" s="28">
        <f>SUM(M436:M442)</f>
        <v>2715</v>
      </c>
      <c r="N443" s="28">
        <f>SUM(N436:N442)</f>
        <v>2715</v>
      </c>
      <c r="P443" s="139">
        <f>SUM(P436:P442)</f>
        <v>0</v>
      </c>
      <c r="R443" s="28">
        <f>SUM(R436:R442)</f>
        <v>2715</v>
      </c>
      <c r="S443" s="28">
        <f>SUM(S436:S442)</f>
        <v>2781.02</v>
      </c>
      <c r="U443" s="28">
        <f>SUM(U436:U442)</f>
        <v>2715</v>
      </c>
      <c r="V443" s="28">
        <f>SUM(V436:V442)</f>
        <v>0</v>
      </c>
      <c r="W443" s="28">
        <f>SUM(W436:W442)</f>
        <v>2715</v>
      </c>
      <c r="X443" s="123">
        <f>IF(U443=0," ",(W443-U443)/U443)</f>
        <v>0</v>
      </c>
      <c r="Z443" s="28">
        <f>SUM(Z436:Z442)</f>
        <v>2715</v>
      </c>
      <c r="AA443" s="28">
        <f>SUM(AA436:AA442)</f>
        <v>2715</v>
      </c>
      <c r="AC443" s="139"/>
      <c r="AE443" s="28">
        <f>SUM(AE434:AE442)</f>
        <v>2715</v>
      </c>
      <c r="AF443" s="201">
        <f>SUM(AF434:AF442)</f>
        <v>8292.2999999999993</v>
      </c>
      <c r="AH443" s="28">
        <f>SUM(AH434:AH442)</f>
        <v>2715</v>
      </c>
      <c r="AI443" s="28">
        <f>SUM(AI434:AI442)</f>
        <v>0</v>
      </c>
      <c r="AJ443" s="28">
        <f>SUM(AJ434:AJ442)</f>
        <v>2715</v>
      </c>
      <c r="AK443" s="123">
        <f>IF(AH443=0," ",(AJ443-AH443)/AH443)</f>
        <v>0</v>
      </c>
      <c r="AM443" s="28">
        <f>SUM(AM434:AM442)</f>
        <v>12715</v>
      </c>
      <c r="AN443" s="28">
        <f>SUM(AN434:AN442)</f>
        <v>12715</v>
      </c>
      <c r="AP443" s="139"/>
      <c r="AR443" s="28">
        <f>SUM(AR434:AR442)</f>
        <v>12715</v>
      </c>
      <c r="AS443" s="28">
        <f>SUM(AS434:AS442)</f>
        <v>9322.33</v>
      </c>
      <c r="AU443" s="28">
        <f>SUM(AU434:AU442)</f>
        <v>12715</v>
      </c>
      <c r="AV443" s="28">
        <f>SUM(AV434:AV442)</f>
        <v>0</v>
      </c>
      <c r="AW443" s="28">
        <f>SUM(AW434:AW442)</f>
        <v>12715</v>
      </c>
      <c r="AX443" s="123">
        <f>IF(AU443=0," ",(AW443-AU443)/AU443)</f>
        <v>0</v>
      </c>
      <c r="AZ443" s="28">
        <f>SUM(AZ434:AZ442)</f>
        <v>12715</v>
      </c>
      <c r="BA443" s="28">
        <f>SUM(BA434:BA442)</f>
        <v>13465</v>
      </c>
      <c r="BC443" s="139"/>
      <c r="BE443" s="28">
        <f>SUM(BE434:BE442)</f>
        <v>13465</v>
      </c>
      <c r="BF443" s="28">
        <f>SUM(BF434:BF442)</f>
        <v>11344.79</v>
      </c>
      <c r="BG443" s="9"/>
      <c r="BH443" s="28">
        <f>SUM(BH434:BH442)</f>
        <v>13465</v>
      </c>
      <c r="BI443" s="28">
        <f>SUM(BI434:BI442)</f>
        <v>0</v>
      </c>
      <c r="BJ443" s="28">
        <f>SUM(BJ434:BJ442)</f>
        <v>13465</v>
      </c>
      <c r="BK443" s="123">
        <f>IF(BH443=0," ",(BJ443-BH443)/BH443)</f>
        <v>0</v>
      </c>
      <c r="BM443" s="28">
        <f>SUM(BM434:BM442)</f>
        <v>13465</v>
      </c>
      <c r="BN443" s="28">
        <f>SUM(BN434:BN442)</f>
        <v>13465</v>
      </c>
      <c r="BP443" s="139"/>
      <c r="BR443" s="28">
        <f>SUM(BR434:BR442)</f>
        <v>13465</v>
      </c>
      <c r="BS443" s="28">
        <f>SUM(BS434:BS442)</f>
        <v>5824.9</v>
      </c>
      <c r="BT443" s="9"/>
      <c r="BU443" s="28">
        <f>SUM(BU434:BU442)</f>
        <v>13465</v>
      </c>
      <c r="BV443" s="532">
        <f>SUM(BV434:BV442)</f>
        <v>0</v>
      </c>
      <c r="BW443" s="591">
        <f>SUM(BW434:BW442)</f>
        <v>13465</v>
      </c>
      <c r="BX443" s="579">
        <f>IF(BU443=0," ",(BW443-BU443)/BU443)</f>
        <v>0</v>
      </c>
      <c r="BY443" s="580"/>
      <c r="BZ443" s="591">
        <f>SUM(BZ434:BZ442)</f>
        <v>13465</v>
      </c>
      <c r="CA443" s="591">
        <f>SUM(CA434:CA442)</f>
        <v>13465</v>
      </c>
      <c r="CB443" s="580"/>
      <c r="CC443" s="769"/>
      <c r="CD443" s="580"/>
      <c r="CE443" s="591">
        <f>SUM(CE434:CE442)</f>
        <v>13465</v>
      </c>
      <c r="CF443" s="591">
        <f>SUM(CF434:CF442)</f>
        <v>0</v>
      </c>
      <c r="CG443" s="9"/>
      <c r="CH443" s="815"/>
      <c r="CI443" s="815"/>
      <c r="CJ443" s="886"/>
      <c r="CO443" s="16"/>
    </row>
    <row r="444" spans="1:93" ht="9.9" customHeight="1" x14ac:dyDescent="0.3">
      <c r="AS444" s="16"/>
      <c r="CJ444" s="886"/>
      <c r="CO444" s="16"/>
    </row>
    <row r="445" spans="1:93" s="1" customFormat="1" x14ac:dyDescent="0.3">
      <c r="A445" s="20"/>
      <c r="B445" s="5"/>
      <c r="C445" s="39"/>
      <c r="D445" s="39"/>
      <c r="E445" s="51"/>
      <c r="F445" s="5"/>
      <c r="G445" s="21" t="s">
        <v>508</v>
      </c>
      <c r="H445" s="22">
        <f>H432+H443</f>
        <v>138265</v>
      </c>
      <c r="I445" s="22">
        <f>I432+I443</f>
        <v>4751</v>
      </c>
      <c r="J445" s="22">
        <f>J432+J443</f>
        <v>143016</v>
      </c>
      <c r="K445" s="124">
        <f>IF(H445=0," ",(J445-H445)/H445)</f>
        <v>3.4361552091997254E-2</v>
      </c>
      <c r="M445" s="22">
        <f>M432+M443</f>
        <v>143016</v>
      </c>
      <c r="N445" s="22">
        <f>N432+N443</f>
        <v>143016</v>
      </c>
      <c r="P445" s="136">
        <f>P432+P443</f>
        <v>0</v>
      </c>
      <c r="R445" s="22">
        <f>R432+R443</f>
        <v>143016</v>
      </c>
      <c r="S445" s="22">
        <f>S432+S443</f>
        <v>141068.82999999999</v>
      </c>
      <c r="U445" s="22">
        <f>U432+U443</f>
        <v>143016</v>
      </c>
      <c r="V445" s="22">
        <f>V432+V443</f>
        <v>5316</v>
      </c>
      <c r="W445" s="22">
        <f>W432+W443</f>
        <v>148332</v>
      </c>
      <c r="X445" s="124">
        <f>IF(U445=0," ",(W445-U445)/U445)</f>
        <v>3.7170666219164289E-2</v>
      </c>
      <c r="Z445" s="22">
        <f>Z432+Z443</f>
        <v>148332</v>
      </c>
      <c r="AA445" s="22">
        <f>AA432+AA443</f>
        <v>148332</v>
      </c>
      <c r="AC445" s="136"/>
      <c r="AE445" s="22">
        <f>AE432+AE443</f>
        <v>148332</v>
      </c>
      <c r="AF445" s="199">
        <f>AF432+AF443</f>
        <v>149210.33999999997</v>
      </c>
      <c r="AH445" s="22">
        <v>148332</v>
      </c>
      <c r="AI445" s="22">
        <f>AI432+AI443</f>
        <v>1583</v>
      </c>
      <c r="AJ445" s="22">
        <f>AJ432+AJ443</f>
        <v>149915</v>
      </c>
      <c r="AK445" s="124">
        <f>IF(AH445=0," ",(AJ445-AH445)/AH445)</f>
        <v>1.0672006040503735E-2</v>
      </c>
      <c r="AM445" s="22">
        <f>AM432+AM443</f>
        <v>159915</v>
      </c>
      <c r="AN445" s="22">
        <f>AN432+AN443</f>
        <v>159915</v>
      </c>
      <c r="AP445" s="136"/>
      <c r="AR445" s="22">
        <f>AR432+AR443</f>
        <v>159915</v>
      </c>
      <c r="AS445" s="22">
        <f>AS432+AS443</f>
        <v>147056.76999999999</v>
      </c>
      <c r="AU445" s="22">
        <f>AU432+AU443</f>
        <v>159915</v>
      </c>
      <c r="AV445" s="22">
        <f>AV432+AV443</f>
        <v>3037</v>
      </c>
      <c r="AW445" s="22">
        <f>AW432+AW443</f>
        <v>162952</v>
      </c>
      <c r="AX445" s="124">
        <f>IF(AU445=0," ",(AW445-AU445)/AU445)</f>
        <v>1.8991339148922867E-2</v>
      </c>
      <c r="AZ445" s="22">
        <f>AZ432+AZ443</f>
        <v>162827</v>
      </c>
      <c r="BA445" s="22">
        <f>BA432+BA443</f>
        <v>145058</v>
      </c>
      <c r="BC445" s="136"/>
      <c r="BE445" s="22">
        <f>BE432+BE443</f>
        <v>145058</v>
      </c>
      <c r="BF445" s="22">
        <f>BF432+BF443</f>
        <v>133584.12000000002</v>
      </c>
      <c r="BH445" s="22">
        <f>BH432+BH443</f>
        <v>145058</v>
      </c>
      <c r="BI445" s="22">
        <f>BI432+BI443</f>
        <v>1314</v>
      </c>
      <c r="BJ445" s="22">
        <f>BJ432+BJ443</f>
        <v>146372</v>
      </c>
      <c r="BK445" s="124">
        <f>IF(BH445=0," ",(BJ445-BH445)/BH445)</f>
        <v>9.0584455872823287E-3</v>
      </c>
      <c r="BM445" s="22">
        <f>BM432+BM443</f>
        <v>144841</v>
      </c>
      <c r="BN445" s="22">
        <f>BN432+BN443</f>
        <v>159253</v>
      </c>
      <c r="BP445" s="136"/>
      <c r="BR445" s="22">
        <f>BR432+BR443</f>
        <v>159253</v>
      </c>
      <c r="BS445" s="22">
        <f>BS432+BS443</f>
        <v>71507.329999999987</v>
      </c>
      <c r="BU445" s="22">
        <f>BU432+BU443</f>
        <v>159253</v>
      </c>
      <c r="BV445" s="531">
        <f>BV432+BV443</f>
        <v>5588</v>
      </c>
      <c r="BW445" s="581">
        <f>BW432+BW443</f>
        <v>164841</v>
      </c>
      <c r="BX445" s="582">
        <f>IF(BU445=0," ",(BW445-BU445)/BU445)</f>
        <v>3.5088820932729685E-2</v>
      </c>
      <c r="BY445" s="573"/>
      <c r="BZ445" s="581">
        <f>BZ432+BZ443</f>
        <v>164841</v>
      </c>
      <c r="CA445" s="581">
        <f>CA432+CA443</f>
        <v>171512</v>
      </c>
      <c r="CB445" s="573"/>
      <c r="CC445" s="764"/>
      <c r="CD445" s="573"/>
      <c r="CE445" s="581">
        <f>CE432+CE443</f>
        <v>171512</v>
      </c>
      <c r="CF445" s="581">
        <f>CF432+CF443</f>
        <v>0</v>
      </c>
      <c r="CH445" s="812"/>
      <c r="CI445" s="812"/>
      <c r="CJ445" s="886"/>
      <c r="CO445" s="16"/>
    </row>
    <row r="446" spans="1:93" ht="20.100000000000001" customHeight="1" x14ac:dyDescent="0.3">
      <c r="AS446" s="16"/>
      <c r="CJ446" s="886"/>
      <c r="CO446" s="16"/>
    </row>
    <row r="447" spans="1:93" s="1" customFormat="1" ht="15.6" x14ac:dyDescent="0.3">
      <c r="A447" s="14" t="s">
        <v>167</v>
      </c>
      <c r="B447" s="2"/>
      <c r="C447" s="36"/>
      <c r="D447" s="36"/>
      <c r="E447" s="48"/>
      <c r="F447" s="2"/>
      <c r="G447" s="2"/>
      <c r="H447" s="15"/>
      <c r="I447" s="15"/>
      <c r="J447" s="15"/>
      <c r="K447" s="121"/>
      <c r="M447" s="15"/>
      <c r="N447" s="15"/>
      <c r="P447" s="133"/>
      <c r="R447" s="15"/>
      <c r="S447" s="15"/>
      <c r="U447" s="15"/>
      <c r="V447" s="15"/>
      <c r="W447" s="15"/>
      <c r="X447" s="121"/>
      <c r="Z447" s="15"/>
      <c r="AA447" s="15"/>
      <c r="AC447" s="133"/>
      <c r="AE447" s="15"/>
      <c r="AF447" s="196"/>
      <c r="AH447" s="15"/>
      <c r="AI447" s="15"/>
      <c r="AJ447" s="15"/>
      <c r="AK447" s="121"/>
      <c r="AM447" s="15"/>
      <c r="AN447" s="15"/>
      <c r="AP447" s="133"/>
      <c r="AR447" s="15"/>
      <c r="AS447" s="15"/>
      <c r="AU447" s="15"/>
      <c r="AV447" s="15"/>
      <c r="AW447" s="15"/>
      <c r="AX447" s="121"/>
      <c r="AZ447" s="15"/>
      <c r="BA447" s="15"/>
      <c r="BC447" s="133"/>
      <c r="BE447" s="15"/>
      <c r="BF447" s="15"/>
      <c r="BH447" s="15"/>
      <c r="BI447" s="15"/>
      <c r="BJ447" s="15"/>
      <c r="BK447" s="121"/>
      <c r="BM447" s="15"/>
      <c r="BN447" s="15"/>
      <c r="BP447" s="234"/>
      <c r="BR447" s="15"/>
      <c r="BS447" s="15"/>
      <c r="BU447" s="15"/>
      <c r="BV447" s="529"/>
      <c r="BW447" s="574"/>
      <c r="BX447" s="575"/>
      <c r="BY447" s="573"/>
      <c r="BZ447" s="574"/>
      <c r="CA447" s="574"/>
      <c r="CB447" s="573"/>
      <c r="CC447" s="761"/>
      <c r="CD447" s="573"/>
      <c r="CE447" s="574"/>
      <c r="CF447" s="574"/>
      <c r="CH447" s="812"/>
      <c r="CI447" s="812"/>
      <c r="CJ447" s="886"/>
      <c r="CO447" s="16"/>
    </row>
    <row r="448" spans="1:93" x14ac:dyDescent="0.3">
      <c r="A448" s="11">
        <v>245</v>
      </c>
      <c r="B448" s="3" t="s">
        <v>2</v>
      </c>
      <c r="C448" s="37">
        <v>24501</v>
      </c>
      <c r="D448" s="37">
        <v>51120</v>
      </c>
      <c r="E448" s="49" t="s">
        <v>11</v>
      </c>
      <c r="F448" s="3" t="s">
        <v>2</v>
      </c>
      <c r="G448" s="3" t="s">
        <v>99</v>
      </c>
      <c r="H448" s="26">
        <v>1658</v>
      </c>
      <c r="I448" s="244">
        <v>33.159999999999997</v>
      </c>
      <c r="J448" s="16">
        <f>H448+I448</f>
        <v>1691.16</v>
      </c>
      <c r="K448" s="122">
        <f>IF(H448=0," ",(J448-H448)/H448)</f>
        <v>2.0000000000000049E-2</v>
      </c>
      <c r="M448" s="117">
        <v>1692</v>
      </c>
      <c r="N448" s="117">
        <v>1692</v>
      </c>
      <c r="P448" s="259" t="s">
        <v>548</v>
      </c>
      <c r="R448" s="26">
        <v>1692</v>
      </c>
      <c r="S448" s="26">
        <v>1692</v>
      </c>
      <c r="U448" s="26">
        <v>1692</v>
      </c>
      <c r="V448" s="244">
        <v>0</v>
      </c>
      <c r="W448" s="16">
        <f>U448+V448</f>
        <v>1692</v>
      </c>
      <c r="X448" s="122">
        <f>IF(U448=0," ",(W448-U448)/U448)</f>
        <v>0</v>
      </c>
      <c r="Z448" s="117">
        <v>1692</v>
      </c>
      <c r="AA448" s="117">
        <v>1692</v>
      </c>
      <c r="AC448" s="259"/>
      <c r="AE448" s="26">
        <v>1692</v>
      </c>
      <c r="AF448" s="200">
        <v>1692</v>
      </c>
      <c r="AH448" s="26">
        <v>1692</v>
      </c>
      <c r="AI448" s="244">
        <v>34</v>
      </c>
      <c r="AJ448" s="16">
        <f>AH448+AI448</f>
        <v>1726</v>
      </c>
      <c r="AK448" s="122">
        <f>IF(AH448=0," ",(AJ448-AH448)/AH448)</f>
        <v>2.0094562647754138E-2</v>
      </c>
      <c r="AM448" s="117">
        <v>1726</v>
      </c>
      <c r="AN448" s="117">
        <v>1726</v>
      </c>
      <c r="AP448" s="259" t="s">
        <v>813</v>
      </c>
      <c r="AR448" s="26">
        <v>1726</v>
      </c>
      <c r="AS448" s="26">
        <v>1726</v>
      </c>
      <c r="AU448" s="26">
        <f>AR448</f>
        <v>1726</v>
      </c>
      <c r="AV448" s="244"/>
      <c r="AW448" s="16">
        <f>AU448+AV448</f>
        <v>1726</v>
      </c>
      <c r="AX448" s="122">
        <f>IF(AU448=0," ",(AW448-AU448)/AU448)</f>
        <v>0</v>
      </c>
      <c r="AZ448" s="117">
        <v>1726</v>
      </c>
      <c r="BA448" s="117">
        <v>1726</v>
      </c>
      <c r="BC448" s="259"/>
      <c r="BE448" s="26">
        <v>1726</v>
      </c>
      <c r="BF448" s="26">
        <v>1726</v>
      </c>
      <c r="BH448" s="26">
        <v>1726</v>
      </c>
      <c r="BI448" s="244"/>
      <c r="BJ448" s="16">
        <f>BH448+BI448</f>
        <v>1726</v>
      </c>
      <c r="BK448" s="122">
        <f>IF(BH448=0," ",(BJ448-BH448)/BH448)</f>
        <v>0</v>
      </c>
      <c r="BM448" s="117">
        <v>1726</v>
      </c>
      <c r="BN448" s="117">
        <v>1726</v>
      </c>
      <c r="BP448" s="259"/>
      <c r="BR448" s="117">
        <v>1726</v>
      </c>
      <c r="BS448" s="26">
        <v>863</v>
      </c>
      <c r="BU448" s="26">
        <v>1726</v>
      </c>
      <c r="BV448" s="244"/>
      <c r="BW448" s="576">
        <f>BU448+BV448</f>
        <v>1726</v>
      </c>
      <c r="BX448" s="577">
        <f>IF(BU448=0," ",(BW448-BU448)/BU448)</f>
        <v>0</v>
      </c>
      <c r="BZ448" s="166">
        <v>1726</v>
      </c>
      <c r="CA448" s="166">
        <v>1726</v>
      </c>
      <c r="CC448" s="753"/>
      <c r="CE448" s="166">
        <v>1726</v>
      </c>
      <c r="CF448" s="166"/>
      <c r="CJ448" s="886"/>
      <c r="CO448" s="16"/>
    </row>
    <row r="449" spans="1:93" s="19" customFormat="1" x14ac:dyDescent="0.3">
      <c r="A449" s="27"/>
      <c r="B449" s="8"/>
      <c r="C449" s="42"/>
      <c r="D449" s="42"/>
      <c r="E449" s="54"/>
      <c r="F449" s="8"/>
      <c r="G449" s="56" t="s">
        <v>168</v>
      </c>
      <c r="H449" s="28">
        <f t="shared" ref="H449" si="239">SUM(H448)</f>
        <v>1658</v>
      </c>
      <c r="I449" s="28">
        <f>SUM(I448)</f>
        <v>33.159999999999997</v>
      </c>
      <c r="J449" s="28">
        <f>SUM(J448)</f>
        <v>1691.16</v>
      </c>
      <c r="K449" s="123">
        <f>IF(H449=0," ",(J449-H449)/H449)</f>
        <v>2.0000000000000049E-2</v>
      </c>
      <c r="M449" s="28">
        <f>SUM(M448)</f>
        <v>1692</v>
      </c>
      <c r="N449" s="28">
        <f>SUM(N448)</f>
        <v>1692</v>
      </c>
      <c r="P449" s="139">
        <f>SUM(P448)</f>
        <v>0</v>
      </c>
      <c r="R449" s="28">
        <f>SUM(R448)</f>
        <v>1692</v>
      </c>
      <c r="S449" s="28">
        <f>SUM(S448)</f>
        <v>1692</v>
      </c>
      <c r="U449" s="28">
        <f>SUM(U448)</f>
        <v>1692</v>
      </c>
      <c r="V449" s="28">
        <f>SUM(V448)</f>
        <v>0</v>
      </c>
      <c r="W449" s="28">
        <f>SUM(W448)</f>
        <v>1692</v>
      </c>
      <c r="X449" s="123">
        <f>IF(U449=0," ",(W449-U449)/U449)</f>
        <v>0</v>
      </c>
      <c r="Z449" s="28">
        <f>SUM(Z448)</f>
        <v>1692</v>
      </c>
      <c r="AA449" s="28">
        <f>SUM(AA448)</f>
        <v>1692</v>
      </c>
      <c r="AC449" s="139"/>
      <c r="AE449" s="28">
        <f>SUM(AE448)</f>
        <v>1692</v>
      </c>
      <c r="AF449" s="201">
        <f>SUM(AF448)</f>
        <v>1692</v>
      </c>
      <c r="AH449" s="28">
        <v>1692</v>
      </c>
      <c r="AI449" s="28">
        <f>SUM(AI448)</f>
        <v>34</v>
      </c>
      <c r="AJ449" s="28">
        <f>SUM(AJ448)</f>
        <v>1726</v>
      </c>
      <c r="AK449" s="123">
        <f>IF(AH449=0," ",(AJ449-AH449)/AH449)</f>
        <v>2.0094562647754138E-2</v>
      </c>
      <c r="AM449" s="28">
        <f>SUM(AM448)</f>
        <v>1726</v>
      </c>
      <c r="AN449" s="28">
        <f>SUM(AN448)</f>
        <v>1726</v>
      </c>
      <c r="AP449" s="139"/>
      <c r="AR449" s="28">
        <f>SUM(AR448)</f>
        <v>1726</v>
      </c>
      <c r="AS449" s="28">
        <f>SUM(AS448)</f>
        <v>1726</v>
      </c>
      <c r="AU449" s="28">
        <f>SUM(AU448)</f>
        <v>1726</v>
      </c>
      <c r="AV449" s="28">
        <f>SUM(AV448)</f>
        <v>0</v>
      </c>
      <c r="AW449" s="28">
        <f>SUM(AW448)</f>
        <v>1726</v>
      </c>
      <c r="AX449" s="123">
        <f>IF(AU449=0," ",(AW449-AU449)/AU449)</f>
        <v>0</v>
      </c>
      <c r="AZ449" s="28">
        <f>SUM(AZ448)</f>
        <v>1726</v>
      </c>
      <c r="BA449" s="28">
        <f>SUM(BA448)</f>
        <v>1726</v>
      </c>
      <c r="BC449" s="139"/>
      <c r="BE449" s="28">
        <f>SUM(BE448)</f>
        <v>1726</v>
      </c>
      <c r="BF449" s="28">
        <f>SUM(BF448)</f>
        <v>1726</v>
      </c>
      <c r="BG449" s="9"/>
      <c r="BH449" s="28">
        <f>SUM(BH448)</f>
        <v>1726</v>
      </c>
      <c r="BI449" s="28">
        <f>SUM(BI448)</f>
        <v>0</v>
      </c>
      <c r="BJ449" s="28">
        <f>SUM(BJ448)</f>
        <v>1726</v>
      </c>
      <c r="BK449" s="123">
        <f>IF(BH449=0," ",(BJ449-BH449)/BH449)</f>
        <v>0</v>
      </c>
      <c r="BM449" s="28">
        <f>SUM(BM448)</f>
        <v>1726</v>
      </c>
      <c r="BN449" s="28">
        <f>SUM(BN448)</f>
        <v>1726</v>
      </c>
      <c r="BP449" s="139"/>
      <c r="BR449" s="28">
        <f>SUM(BR448)</f>
        <v>1726</v>
      </c>
      <c r="BS449" s="28">
        <f>SUM(BS448)</f>
        <v>863</v>
      </c>
      <c r="BT449" s="9"/>
      <c r="BU449" s="28">
        <f>SUM(BU448)</f>
        <v>1726</v>
      </c>
      <c r="BV449" s="532">
        <f>SUM(BV448)</f>
        <v>0</v>
      </c>
      <c r="BW449" s="591">
        <f>SUM(BW448)</f>
        <v>1726</v>
      </c>
      <c r="BX449" s="579">
        <f>IF(BU449=0," ",(BW449-BU449)/BU449)</f>
        <v>0</v>
      </c>
      <c r="BY449" s="580"/>
      <c r="BZ449" s="591">
        <f>SUM(BZ448)</f>
        <v>1726</v>
      </c>
      <c r="CA449" s="591">
        <f>SUM(CA448)</f>
        <v>1726</v>
      </c>
      <c r="CB449" s="580"/>
      <c r="CC449" s="769"/>
      <c r="CD449" s="580"/>
      <c r="CE449" s="591">
        <f>SUM(CE448)</f>
        <v>1726</v>
      </c>
      <c r="CF449" s="591">
        <f>SUM(CF448)</f>
        <v>0</v>
      </c>
      <c r="CG449" s="9"/>
      <c r="CH449" s="815"/>
      <c r="CI449" s="815"/>
      <c r="CJ449" s="886"/>
      <c r="CO449" s="16"/>
    </row>
    <row r="450" spans="1:93" ht="9.9" customHeight="1" x14ac:dyDescent="0.3">
      <c r="AS450" s="16"/>
      <c r="CJ450" s="886"/>
      <c r="CO450" s="16"/>
    </row>
    <row r="451" spans="1:93" s="1" customFormat="1" x14ac:dyDescent="0.3">
      <c r="A451" s="20"/>
      <c r="B451" s="5"/>
      <c r="C451" s="39"/>
      <c r="D451" s="39"/>
      <c r="E451" s="51"/>
      <c r="F451" s="5"/>
      <c r="G451" s="21" t="s">
        <v>169</v>
      </c>
      <c r="H451" s="22">
        <f t="shared" ref="H451" si="240">H449</f>
        <v>1658</v>
      </c>
      <c r="I451" s="22">
        <f>I449</f>
        <v>33.159999999999997</v>
      </c>
      <c r="J451" s="22">
        <f>J449</f>
        <v>1691.16</v>
      </c>
      <c r="K451" s="124">
        <f>K449</f>
        <v>2.0000000000000049E-2</v>
      </c>
      <c r="M451" s="22">
        <f>M449</f>
        <v>1692</v>
      </c>
      <c r="N451" s="22">
        <f>N449</f>
        <v>1692</v>
      </c>
      <c r="P451" s="136">
        <f>P449</f>
        <v>0</v>
      </c>
      <c r="R451" s="22">
        <f>R449</f>
        <v>1692</v>
      </c>
      <c r="S451" s="22">
        <f>S449</f>
        <v>1692</v>
      </c>
      <c r="U451" s="22">
        <f>U449</f>
        <v>1692</v>
      </c>
      <c r="V451" s="22">
        <f>V449</f>
        <v>0</v>
      </c>
      <c r="W451" s="22">
        <f>W449</f>
        <v>1692</v>
      </c>
      <c r="X451" s="124">
        <f>X449</f>
        <v>0</v>
      </c>
      <c r="Z451" s="22">
        <f>Z449</f>
        <v>1692</v>
      </c>
      <c r="AA451" s="22">
        <f>AA449</f>
        <v>1692</v>
      </c>
      <c r="AC451" s="136"/>
      <c r="AE451" s="22">
        <f>AE449</f>
        <v>1692</v>
      </c>
      <c r="AF451" s="199">
        <f>AF449</f>
        <v>1692</v>
      </c>
      <c r="AH451" s="22">
        <v>1692</v>
      </c>
      <c r="AI451" s="22">
        <f>AI449</f>
        <v>34</v>
      </c>
      <c r="AJ451" s="22">
        <f>AJ449</f>
        <v>1726</v>
      </c>
      <c r="AK451" s="124">
        <f>AK449</f>
        <v>2.0094562647754138E-2</v>
      </c>
      <c r="AM451" s="22">
        <f>AM449</f>
        <v>1726</v>
      </c>
      <c r="AN451" s="22">
        <f>AN449</f>
        <v>1726</v>
      </c>
      <c r="AP451" s="136"/>
      <c r="AR451" s="22">
        <f>AR449</f>
        <v>1726</v>
      </c>
      <c r="AS451" s="22">
        <f>AS449</f>
        <v>1726</v>
      </c>
      <c r="AU451" s="22">
        <f>AU449</f>
        <v>1726</v>
      </c>
      <c r="AV451" s="22">
        <f>AV449</f>
        <v>0</v>
      </c>
      <c r="AW451" s="22">
        <f>AW449</f>
        <v>1726</v>
      </c>
      <c r="AX451" s="124">
        <f>AX449</f>
        <v>0</v>
      </c>
      <c r="AZ451" s="22">
        <f>AZ449</f>
        <v>1726</v>
      </c>
      <c r="BA451" s="22">
        <f>BA449</f>
        <v>1726</v>
      </c>
      <c r="BC451" s="136"/>
      <c r="BE451" s="22">
        <f>BE449</f>
        <v>1726</v>
      </c>
      <c r="BF451" s="22">
        <f>BF449</f>
        <v>1726</v>
      </c>
      <c r="BH451" s="22">
        <f>BH449</f>
        <v>1726</v>
      </c>
      <c r="BI451" s="22">
        <f>BI449</f>
        <v>0</v>
      </c>
      <c r="BJ451" s="22">
        <f>BJ449</f>
        <v>1726</v>
      </c>
      <c r="BK451" s="124">
        <f>BK449</f>
        <v>0</v>
      </c>
      <c r="BM451" s="22">
        <f>BM449</f>
        <v>1726</v>
      </c>
      <c r="BN451" s="22">
        <f>BN449</f>
        <v>1726</v>
      </c>
      <c r="BP451" s="136"/>
      <c r="BR451" s="22">
        <f>BR449</f>
        <v>1726</v>
      </c>
      <c r="BS451" s="22">
        <f>BS449</f>
        <v>863</v>
      </c>
      <c r="BU451" s="22">
        <f>BU449</f>
        <v>1726</v>
      </c>
      <c r="BV451" s="531">
        <f>BV449</f>
        <v>0</v>
      </c>
      <c r="BW451" s="581">
        <f>BW449</f>
        <v>1726</v>
      </c>
      <c r="BX451" s="582">
        <f>BX449</f>
        <v>0</v>
      </c>
      <c r="BY451" s="573"/>
      <c r="BZ451" s="581">
        <f>BZ449</f>
        <v>1726</v>
      </c>
      <c r="CA451" s="581">
        <f>CA449</f>
        <v>1726</v>
      </c>
      <c r="CB451" s="573"/>
      <c r="CC451" s="764"/>
      <c r="CD451" s="573"/>
      <c r="CE451" s="581">
        <f>CE449</f>
        <v>1726</v>
      </c>
      <c r="CF451" s="581">
        <f>CF449</f>
        <v>0</v>
      </c>
      <c r="CH451" s="812"/>
      <c r="CI451" s="812"/>
      <c r="CJ451" s="886"/>
      <c r="CO451" s="16"/>
    </row>
    <row r="452" spans="1:93" ht="20.100000000000001" customHeight="1" x14ac:dyDescent="0.3">
      <c r="AS452" s="16"/>
      <c r="CJ452" s="886"/>
      <c r="CO452" s="16"/>
    </row>
    <row r="453" spans="1:93" s="1" customFormat="1" ht="15.6" x14ac:dyDescent="0.3">
      <c r="A453" s="14" t="s">
        <v>171</v>
      </c>
      <c r="B453" s="2"/>
      <c r="C453" s="36"/>
      <c r="D453" s="36"/>
      <c r="E453" s="48"/>
      <c r="F453" s="2"/>
      <c r="G453" s="2"/>
      <c r="H453" s="15"/>
      <c r="I453" s="15"/>
      <c r="J453" s="15"/>
      <c r="K453" s="121"/>
      <c r="M453" s="15"/>
      <c r="N453" s="15"/>
      <c r="P453" s="133"/>
      <c r="R453" s="15"/>
      <c r="S453" s="15"/>
      <c r="U453" s="15"/>
      <c r="V453" s="15"/>
      <c r="W453" s="15"/>
      <c r="X453" s="121"/>
      <c r="Z453" s="15"/>
      <c r="AA453" s="15"/>
      <c r="AC453" s="133"/>
      <c r="AE453" s="15"/>
      <c r="AF453" s="196"/>
      <c r="AH453" s="15"/>
      <c r="AI453" s="15"/>
      <c r="AJ453" s="15"/>
      <c r="AK453" s="121"/>
      <c r="AM453" s="15"/>
      <c r="AN453" s="15"/>
      <c r="AP453" s="133"/>
      <c r="AR453" s="15"/>
      <c r="AS453" s="15"/>
      <c r="AU453" s="15"/>
      <c r="AV453" s="15"/>
      <c r="AW453" s="15"/>
      <c r="AX453" s="121"/>
      <c r="AZ453" s="15"/>
      <c r="BA453" s="15"/>
      <c r="BC453" s="133"/>
      <c r="BE453" s="15"/>
      <c r="BF453" s="15"/>
      <c r="BH453" s="15"/>
      <c r="BI453" s="15"/>
      <c r="BJ453" s="15"/>
      <c r="BK453" s="121"/>
      <c r="BM453" s="15"/>
      <c r="BN453" s="15"/>
      <c r="BP453" s="234"/>
      <c r="BR453" s="15"/>
      <c r="BS453" s="15"/>
      <c r="BU453" s="15"/>
      <c r="BV453" s="529"/>
      <c r="BW453" s="574"/>
      <c r="BX453" s="575"/>
      <c r="BY453" s="573"/>
      <c r="BZ453" s="574"/>
      <c r="CA453" s="574"/>
      <c r="CB453" s="573"/>
      <c r="CC453" s="761"/>
      <c r="CD453" s="573"/>
      <c r="CE453" s="574"/>
      <c r="CF453" s="574"/>
      <c r="CH453" s="812"/>
      <c r="CI453" s="812"/>
      <c r="CJ453" s="886"/>
      <c r="CO453" s="16"/>
    </row>
    <row r="454" spans="1:93" x14ac:dyDescent="0.3">
      <c r="A454" s="11">
        <v>292</v>
      </c>
      <c r="B454" s="3" t="s">
        <v>2</v>
      </c>
      <c r="C454" s="37">
        <v>29201</v>
      </c>
      <c r="D454" s="37">
        <v>51120</v>
      </c>
      <c r="E454" s="49" t="s">
        <v>11</v>
      </c>
      <c r="F454" s="3" t="s">
        <v>2</v>
      </c>
      <c r="G454" s="3" t="s">
        <v>100</v>
      </c>
      <c r="H454" s="26">
        <v>9831</v>
      </c>
      <c r="I454" s="244">
        <v>196.52</v>
      </c>
      <c r="J454" s="16">
        <f>H454+I454</f>
        <v>10027.52</v>
      </c>
      <c r="K454" s="122">
        <f>IF(H454=0," ",(J454-H454)/H454)</f>
        <v>1.9989828094802202E-2</v>
      </c>
      <c r="M454" s="117">
        <v>10028</v>
      </c>
      <c r="N454" s="117">
        <v>10028</v>
      </c>
      <c r="P454" s="259" t="s">
        <v>549</v>
      </c>
      <c r="R454" s="26">
        <v>10028</v>
      </c>
      <c r="S454" s="26">
        <v>10028</v>
      </c>
      <c r="U454" s="26">
        <v>10028</v>
      </c>
      <c r="V454" s="244">
        <v>0</v>
      </c>
      <c r="W454" s="16">
        <f>U454+V454</f>
        <v>10028</v>
      </c>
      <c r="X454" s="122">
        <f>IF(U454=0," ",(W454-U454)/U454)</f>
        <v>0</v>
      </c>
      <c r="Z454" s="117">
        <v>10028</v>
      </c>
      <c r="AA454" s="117">
        <v>10028</v>
      </c>
      <c r="AC454" s="259"/>
      <c r="AE454" s="26">
        <v>10028</v>
      </c>
      <c r="AF454" s="200">
        <v>10028</v>
      </c>
      <c r="AH454" s="26">
        <v>10028</v>
      </c>
      <c r="AI454" s="244">
        <v>201</v>
      </c>
      <c r="AJ454" s="16">
        <f>AH454+AI454</f>
        <v>10229</v>
      </c>
      <c r="AK454" s="122">
        <f>IF(AH454=0," ",(AJ454-AH454)/AH454)</f>
        <v>2.0043877143996809E-2</v>
      </c>
      <c r="AM454" s="117">
        <v>10229</v>
      </c>
      <c r="AN454" s="117">
        <v>10229</v>
      </c>
      <c r="AP454" s="259" t="s">
        <v>813</v>
      </c>
      <c r="AR454" s="26">
        <v>10229</v>
      </c>
      <c r="AS454" s="26">
        <v>10228.92</v>
      </c>
      <c r="AU454" s="26">
        <f>AR454</f>
        <v>10229</v>
      </c>
      <c r="AV454" s="244"/>
      <c r="AW454" s="16">
        <f>AU454+AV454</f>
        <v>10229</v>
      </c>
      <c r="AX454" s="122">
        <f>IF(AU454=0," ",(AW454-AU454)/AU454)</f>
        <v>0</v>
      </c>
      <c r="AZ454" s="117">
        <v>10229</v>
      </c>
      <c r="BA454" s="117">
        <v>10228.92</v>
      </c>
      <c r="BC454" s="259"/>
      <c r="BE454" s="26">
        <v>10229</v>
      </c>
      <c r="BF454" s="26">
        <v>10229</v>
      </c>
      <c r="BH454" s="26">
        <v>10229</v>
      </c>
      <c r="BI454" s="244"/>
      <c r="BJ454" s="16">
        <f>BH454+BI454</f>
        <v>10229</v>
      </c>
      <c r="BK454" s="122">
        <f>IF(BH454=0," ",(BJ454-BH454)/BH454)</f>
        <v>0</v>
      </c>
      <c r="BM454" s="117">
        <v>10229</v>
      </c>
      <c r="BN454" s="117">
        <v>10229</v>
      </c>
      <c r="BP454" s="259"/>
      <c r="BR454" s="117">
        <v>10229</v>
      </c>
      <c r="BS454" s="26">
        <v>5114.46</v>
      </c>
      <c r="BU454" s="26">
        <v>10229</v>
      </c>
      <c r="BV454" s="244"/>
      <c r="BW454" s="576">
        <f>BU454+BV454</f>
        <v>10229</v>
      </c>
      <c r="BX454" s="577">
        <f>IF(BU454=0," ",(BW454-BU454)/BU454)</f>
        <v>0</v>
      </c>
      <c r="BZ454" s="166">
        <v>10229</v>
      </c>
      <c r="CA454" s="166">
        <v>10229</v>
      </c>
      <c r="CC454" s="753"/>
      <c r="CE454" s="166">
        <v>10229</v>
      </c>
      <c r="CF454" s="166"/>
      <c r="CJ454" s="886"/>
      <c r="CO454" s="16"/>
    </row>
    <row r="455" spans="1:93" s="19" customFormat="1" x14ac:dyDescent="0.3">
      <c r="A455" s="27"/>
      <c r="B455" s="8"/>
      <c r="C455" s="42"/>
      <c r="D455" s="42"/>
      <c r="E455" s="54"/>
      <c r="F455" s="8"/>
      <c r="G455" s="56" t="s">
        <v>170</v>
      </c>
      <c r="H455" s="28">
        <f t="shared" ref="H455" si="241">SUM(H454)</f>
        <v>9831</v>
      </c>
      <c r="I455" s="28">
        <f>SUM(I454)</f>
        <v>196.52</v>
      </c>
      <c r="J455" s="28">
        <f>SUM(J454)</f>
        <v>10027.52</v>
      </c>
      <c r="K455" s="123">
        <f>IF(H455=0," ",(J455-H455)/H455)</f>
        <v>1.9989828094802202E-2</v>
      </c>
      <c r="M455" s="28">
        <f>SUM(M454)</f>
        <v>10028</v>
      </c>
      <c r="N455" s="28">
        <f>SUM(N454)</f>
        <v>10028</v>
      </c>
      <c r="P455" s="139">
        <f>SUM(P454)</f>
        <v>0</v>
      </c>
      <c r="R455" s="28">
        <f>SUM(R454)</f>
        <v>10028</v>
      </c>
      <c r="S455" s="28">
        <f>SUM(S454)</f>
        <v>10028</v>
      </c>
      <c r="U455" s="28">
        <f>SUM(U454)</f>
        <v>10028</v>
      </c>
      <c r="V455" s="28">
        <f>SUM(V454)</f>
        <v>0</v>
      </c>
      <c r="W455" s="28">
        <f>SUM(W454)</f>
        <v>10028</v>
      </c>
      <c r="X455" s="123">
        <f>IF(U455=0," ",(W455-U455)/U455)</f>
        <v>0</v>
      </c>
      <c r="Z455" s="28">
        <f>SUM(Z454)</f>
        <v>10028</v>
      </c>
      <c r="AA455" s="28">
        <f>SUM(AA454)</f>
        <v>10028</v>
      </c>
      <c r="AC455" s="139"/>
      <c r="AE455" s="28">
        <f>SUM(AE454)</f>
        <v>10028</v>
      </c>
      <c r="AF455" s="201">
        <f>SUM(AF454)</f>
        <v>10028</v>
      </c>
      <c r="AH455" s="28">
        <v>10028</v>
      </c>
      <c r="AI455" s="28">
        <f>SUM(AI454)</f>
        <v>201</v>
      </c>
      <c r="AJ455" s="28">
        <f>SUM(AJ454)</f>
        <v>10229</v>
      </c>
      <c r="AK455" s="123">
        <f>IF(AH455=0," ",(AJ455-AH455)/AH455)</f>
        <v>2.0043877143996809E-2</v>
      </c>
      <c r="AM455" s="28">
        <f>SUM(AM454)</f>
        <v>10229</v>
      </c>
      <c r="AN455" s="28">
        <f>SUM(AN454)</f>
        <v>10229</v>
      </c>
      <c r="AP455" s="139"/>
      <c r="AR455" s="28">
        <f>SUM(AR454)</f>
        <v>10229</v>
      </c>
      <c r="AS455" s="28">
        <f>SUM(AS454)</f>
        <v>10228.92</v>
      </c>
      <c r="AU455" s="28">
        <f>SUM(AU454)</f>
        <v>10229</v>
      </c>
      <c r="AV455" s="28">
        <f>SUM(AV454)</f>
        <v>0</v>
      </c>
      <c r="AW455" s="28">
        <f>SUM(AW454)</f>
        <v>10229</v>
      </c>
      <c r="AX455" s="123">
        <f>IF(AU455=0," ",(AW455-AU455)/AU455)</f>
        <v>0</v>
      </c>
      <c r="AZ455" s="28">
        <f>SUM(AZ454)</f>
        <v>10229</v>
      </c>
      <c r="BA455" s="28">
        <f>SUM(BA454)</f>
        <v>10228.92</v>
      </c>
      <c r="BC455" s="139"/>
      <c r="BE455" s="28">
        <f>SUM(BE454)</f>
        <v>10229</v>
      </c>
      <c r="BF455" s="28">
        <f>SUM(BF454)</f>
        <v>10229</v>
      </c>
      <c r="BG455" s="9"/>
      <c r="BH455" s="28">
        <f>SUM(BH454)</f>
        <v>10229</v>
      </c>
      <c r="BI455" s="28">
        <f>SUM(BI454)</f>
        <v>0</v>
      </c>
      <c r="BJ455" s="28">
        <f>SUM(BJ454)</f>
        <v>10229</v>
      </c>
      <c r="BK455" s="123">
        <f>IF(BH455=0," ",(BJ455-BH455)/BH455)</f>
        <v>0</v>
      </c>
      <c r="BM455" s="28">
        <f>SUM(BM454)</f>
        <v>10229</v>
      </c>
      <c r="BN455" s="28">
        <f>SUM(BN454)</f>
        <v>10229</v>
      </c>
      <c r="BP455" s="139"/>
      <c r="BR455" s="28">
        <f>SUM(BR454)</f>
        <v>10229</v>
      </c>
      <c r="BS455" s="28">
        <f>SUM(BS454)</f>
        <v>5114.46</v>
      </c>
      <c r="BT455" s="9"/>
      <c r="BU455" s="28">
        <f>SUM(BU454)</f>
        <v>10229</v>
      </c>
      <c r="BV455" s="532">
        <f>SUM(BV454)</f>
        <v>0</v>
      </c>
      <c r="BW455" s="591">
        <f>SUM(BW454)</f>
        <v>10229</v>
      </c>
      <c r="BX455" s="579">
        <f>IF(BU455=0," ",(BW455-BU455)/BU455)</f>
        <v>0</v>
      </c>
      <c r="BY455" s="580"/>
      <c r="BZ455" s="591">
        <f>SUM(BZ454)</f>
        <v>10229</v>
      </c>
      <c r="CA455" s="591">
        <f>SUM(CA454)</f>
        <v>10229</v>
      </c>
      <c r="CB455" s="580"/>
      <c r="CC455" s="769"/>
      <c r="CD455" s="580"/>
      <c r="CE455" s="591">
        <f>SUM(CE454)</f>
        <v>10229</v>
      </c>
      <c r="CF455" s="591">
        <f>SUM(CF454)</f>
        <v>0</v>
      </c>
      <c r="CG455" s="9"/>
      <c r="CH455" s="815"/>
      <c r="CI455" s="815"/>
      <c r="CJ455" s="886"/>
      <c r="CO455" s="16"/>
    </row>
    <row r="456" spans="1:93" x14ac:dyDescent="0.3">
      <c r="AS456" s="16"/>
      <c r="CJ456" s="886"/>
      <c r="CO456" s="16"/>
    </row>
    <row r="457" spans="1:93" x14ac:dyDescent="0.3">
      <c r="A457" s="11">
        <v>292</v>
      </c>
      <c r="B457" s="3" t="s">
        <v>2</v>
      </c>
      <c r="C457" s="37">
        <v>29205</v>
      </c>
      <c r="D457" s="37">
        <v>53800</v>
      </c>
      <c r="E457" s="49" t="s">
        <v>118</v>
      </c>
      <c r="F457" s="3" t="s">
        <v>2</v>
      </c>
      <c r="G457" s="3" t="s">
        <v>5</v>
      </c>
      <c r="H457" s="26">
        <v>571</v>
      </c>
      <c r="I457" s="244"/>
      <c r="J457" s="16">
        <f>H457+I457</f>
        <v>571</v>
      </c>
      <c r="K457" s="122">
        <f>IF(H457=0," ",(J457-H457)/H457)</f>
        <v>0</v>
      </c>
      <c r="M457" s="117">
        <v>571</v>
      </c>
      <c r="N457" s="117">
        <v>571</v>
      </c>
      <c r="P457" s="259"/>
      <c r="R457" s="26">
        <v>571</v>
      </c>
      <c r="S457" s="26">
        <v>268.22000000000003</v>
      </c>
      <c r="U457" s="26">
        <v>571</v>
      </c>
      <c r="V457" s="244">
        <v>0</v>
      </c>
      <c r="W457" s="16">
        <f>U457+V457</f>
        <v>571</v>
      </c>
      <c r="X457" s="122">
        <f>IF(U457=0," ",(W457-U457)/U457)</f>
        <v>0</v>
      </c>
      <c r="Z457" s="117">
        <v>571</v>
      </c>
      <c r="AA457" s="117">
        <v>571</v>
      </c>
      <c r="AC457" s="259" t="s">
        <v>742</v>
      </c>
      <c r="AE457" s="26">
        <v>571</v>
      </c>
      <c r="AF457" s="200">
        <v>0</v>
      </c>
      <c r="AH457" s="26">
        <v>571</v>
      </c>
      <c r="AI457" s="244"/>
      <c r="AJ457" s="16">
        <f>AH457+AI457</f>
        <v>571</v>
      </c>
      <c r="AK457" s="122">
        <f>IF(AH457=0," ",(AJ457-AH457)/AH457)</f>
        <v>0</v>
      </c>
      <c r="AM457" s="117">
        <v>571</v>
      </c>
      <c r="AN457" s="117">
        <v>571</v>
      </c>
      <c r="AP457" s="259"/>
      <c r="AR457" s="26">
        <v>571</v>
      </c>
      <c r="AS457" s="26">
        <v>0</v>
      </c>
      <c r="AU457" s="26">
        <f>AR457</f>
        <v>571</v>
      </c>
      <c r="AV457" s="244"/>
      <c r="AW457" s="16">
        <f>AU457+AV457</f>
        <v>571</v>
      </c>
      <c r="AX457" s="122">
        <f>IF(AU457=0," ",(AW457-AU457)/AU457)</f>
        <v>0</v>
      </c>
      <c r="AZ457" s="117">
        <v>571</v>
      </c>
      <c r="BA457" s="117">
        <v>0</v>
      </c>
      <c r="BC457" s="259"/>
      <c r="BE457" s="26">
        <v>571</v>
      </c>
      <c r="BF457" s="26">
        <v>378.71</v>
      </c>
      <c r="BH457" s="26">
        <v>571</v>
      </c>
      <c r="BI457" s="244"/>
      <c r="BJ457" s="16">
        <f>BH457+BI457</f>
        <v>571</v>
      </c>
      <c r="BK457" s="122">
        <f>IF(BH457=0," ",(BJ457-BH457)/BH457)</f>
        <v>0</v>
      </c>
      <c r="BM457" s="117">
        <v>571</v>
      </c>
      <c r="BN457" s="117">
        <v>571</v>
      </c>
      <c r="BP457" s="259"/>
      <c r="BR457" s="117">
        <v>571</v>
      </c>
      <c r="BS457" s="26"/>
      <c r="BU457" s="26">
        <v>571</v>
      </c>
      <c r="BV457" s="244"/>
      <c r="BW457" s="576">
        <f>BU457+BV457</f>
        <v>571</v>
      </c>
      <c r="BX457" s="577">
        <f>IF(BU457=0," ",(BW457-BU457)/BU457)</f>
        <v>0</v>
      </c>
      <c r="BZ457" s="166">
        <v>571</v>
      </c>
      <c r="CA457" s="166">
        <v>571</v>
      </c>
      <c r="CC457" s="753"/>
      <c r="CE457" s="166">
        <v>571</v>
      </c>
      <c r="CF457" s="166"/>
      <c r="CJ457" s="886"/>
      <c r="CO457" s="16"/>
    </row>
    <row r="458" spans="1:93" s="19" customFormat="1" x14ac:dyDescent="0.3">
      <c r="A458" s="27"/>
      <c r="B458" s="8"/>
      <c r="C458" s="42"/>
      <c r="D458" s="42"/>
      <c r="E458" s="54"/>
      <c r="F458" s="8"/>
      <c r="G458" s="57" t="s">
        <v>178</v>
      </c>
      <c r="H458" s="28">
        <f t="shared" ref="H458" si="242">SUM(H457)</f>
        <v>571</v>
      </c>
      <c r="I458" s="28">
        <f>SUM(I457)</f>
        <v>0</v>
      </c>
      <c r="J458" s="28">
        <f>SUM(J457)</f>
        <v>571</v>
      </c>
      <c r="K458" s="123">
        <f>IF(H458=0," ",(J458-H458)/H458)</f>
        <v>0</v>
      </c>
      <c r="M458" s="28">
        <f>SUM(M457)</f>
        <v>571</v>
      </c>
      <c r="N458" s="28">
        <f>SUM(N457)</f>
        <v>571</v>
      </c>
      <c r="P458" s="139">
        <f>SUM(P457)</f>
        <v>0</v>
      </c>
      <c r="R458" s="28">
        <f>SUM(R457)</f>
        <v>571</v>
      </c>
      <c r="S458" s="28">
        <f>SUM(S457)</f>
        <v>268.22000000000003</v>
      </c>
      <c r="U458" s="28">
        <f>SUM(U457)</f>
        <v>571</v>
      </c>
      <c r="V458" s="28">
        <f>SUM(V457)</f>
        <v>0</v>
      </c>
      <c r="W458" s="28">
        <f>SUM(W457)</f>
        <v>571</v>
      </c>
      <c r="X458" s="123">
        <f>IF(U458=0," ",(W458-U458)/U458)</f>
        <v>0</v>
      </c>
      <c r="Z458" s="28">
        <f>SUM(Z457)</f>
        <v>571</v>
      </c>
      <c r="AA458" s="28">
        <f>SUM(AA457)</f>
        <v>571</v>
      </c>
      <c r="AC458" s="139"/>
      <c r="AE458" s="28">
        <f>SUM(AE457)</f>
        <v>571</v>
      </c>
      <c r="AF458" s="201">
        <f>SUM(AF457)</f>
        <v>0</v>
      </c>
      <c r="AH458" s="28">
        <v>571</v>
      </c>
      <c r="AI458" s="28">
        <f>SUM(AI457)</f>
        <v>0</v>
      </c>
      <c r="AJ458" s="28">
        <f>SUM(AJ457)</f>
        <v>571</v>
      </c>
      <c r="AK458" s="123">
        <f>IF(AH458=0," ",(AJ458-AH458)/AH458)</f>
        <v>0</v>
      </c>
      <c r="AM458" s="28">
        <f>SUM(AM457)</f>
        <v>571</v>
      </c>
      <c r="AN458" s="28">
        <f>SUM(AN457)</f>
        <v>571</v>
      </c>
      <c r="AP458" s="139"/>
      <c r="AR458" s="28">
        <f>SUM(AR457)</f>
        <v>571</v>
      </c>
      <c r="AS458" s="28">
        <f>SUM(AS457)</f>
        <v>0</v>
      </c>
      <c r="AU458" s="28">
        <f>SUM(AU457)</f>
        <v>571</v>
      </c>
      <c r="AV458" s="28">
        <f>SUM(AV457)</f>
        <v>0</v>
      </c>
      <c r="AW458" s="28">
        <f>SUM(AW457)</f>
        <v>571</v>
      </c>
      <c r="AX458" s="123">
        <f>IF(AU458=0," ",(AW458-AU458)/AU458)</f>
        <v>0</v>
      </c>
      <c r="AZ458" s="28">
        <f>SUM(AZ457)</f>
        <v>571</v>
      </c>
      <c r="BA458" s="28">
        <f>SUM(BA457)</f>
        <v>0</v>
      </c>
      <c r="BC458" s="139"/>
      <c r="BE458" s="28">
        <f>SUM(BE457)</f>
        <v>571</v>
      </c>
      <c r="BF458" s="28">
        <f>SUM(BF457)</f>
        <v>378.71</v>
      </c>
      <c r="BG458" s="9"/>
      <c r="BH458" s="28">
        <f>SUM(BH457)</f>
        <v>571</v>
      </c>
      <c r="BI458" s="28">
        <f>SUM(BI457)</f>
        <v>0</v>
      </c>
      <c r="BJ458" s="28">
        <f>SUM(BJ457)</f>
        <v>571</v>
      </c>
      <c r="BK458" s="123">
        <f>IF(BH458=0," ",(BJ458-BH458)/BH458)</f>
        <v>0</v>
      </c>
      <c r="BM458" s="28">
        <f>SUM(BM457)</f>
        <v>571</v>
      </c>
      <c r="BN458" s="28">
        <f>SUM(BN457)</f>
        <v>571</v>
      </c>
      <c r="BP458" s="139"/>
      <c r="BR458" s="28">
        <f>SUM(BR457)</f>
        <v>571</v>
      </c>
      <c r="BS458" s="28">
        <f>SUM(BS457)</f>
        <v>0</v>
      </c>
      <c r="BT458" s="9"/>
      <c r="BU458" s="28">
        <f>SUM(BU457)</f>
        <v>571</v>
      </c>
      <c r="BV458" s="532">
        <f>SUM(BV457)</f>
        <v>0</v>
      </c>
      <c r="BW458" s="591">
        <f>SUM(BW457)</f>
        <v>571</v>
      </c>
      <c r="BX458" s="579">
        <f>IF(BU458=0," ",(BW458-BU458)/BU458)</f>
        <v>0</v>
      </c>
      <c r="BY458" s="580"/>
      <c r="BZ458" s="591">
        <f>SUM(BZ457)</f>
        <v>571</v>
      </c>
      <c r="CA458" s="591">
        <f>SUM(CA457)</f>
        <v>571</v>
      </c>
      <c r="CB458" s="580"/>
      <c r="CC458" s="769"/>
      <c r="CD458" s="580"/>
      <c r="CE458" s="591">
        <f>SUM(CE457)</f>
        <v>571</v>
      </c>
      <c r="CF458" s="591">
        <f>SUM(CF457)</f>
        <v>0</v>
      </c>
      <c r="CG458" s="9"/>
      <c r="CH458" s="815"/>
      <c r="CI458" s="815"/>
      <c r="CJ458" s="886"/>
      <c r="CO458" s="16"/>
    </row>
    <row r="459" spans="1:93" ht="9.9" customHeight="1" x14ac:dyDescent="0.3">
      <c r="AS459" s="16"/>
      <c r="CJ459" s="886"/>
      <c r="CO459" s="16"/>
    </row>
    <row r="460" spans="1:93" s="1" customFormat="1" x14ac:dyDescent="0.3">
      <c r="A460" s="20"/>
      <c r="B460" s="5"/>
      <c r="C460" s="39"/>
      <c r="D460" s="39"/>
      <c r="E460" s="51"/>
      <c r="F460" s="5"/>
      <c r="G460" s="21" t="s">
        <v>172</v>
      </c>
      <c r="H460" s="22">
        <f t="shared" ref="H460" si="243">H455+H458</f>
        <v>10402</v>
      </c>
      <c r="I460" s="22">
        <f>I455+I458</f>
        <v>196.52</v>
      </c>
      <c r="J460" s="22">
        <f>J455+J458</f>
        <v>10598.52</v>
      </c>
      <c r="K460" s="124">
        <f>IF(H460=0," ",(J460-H460)/H460)</f>
        <v>1.8892520669102138E-2</v>
      </c>
      <c r="M460" s="22">
        <f>M455+M458</f>
        <v>10599</v>
      </c>
      <c r="N460" s="22">
        <f>N455+N458</f>
        <v>10599</v>
      </c>
      <c r="P460" s="136">
        <f>P455+P458</f>
        <v>0</v>
      </c>
      <c r="R460" s="22">
        <f>R455+R458</f>
        <v>10599</v>
      </c>
      <c r="S460" s="22">
        <f>S455+S458</f>
        <v>10296.219999999999</v>
      </c>
      <c r="U460" s="22">
        <f>U455+U458</f>
        <v>10599</v>
      </c>
      <c r="V460" s="22">
        <f>V455+V458</f>
        <v>0</v>
      </c>
      <c r="W460" s="22">
        <f>W455+W458</f>
        <v>10599</v>
      </c>
      <c r="X460" s="124">
        <f>IF(U460=0," ",(W460-U460)/U460)</f>
        <v>0</v>
      </c>
      <c r="Z460" s="22">
        <f>Z455+Z458</f>
        <v>10599</v>
      </c>
      <c r="AA460" s="22">
        <f>AA455+AA458</f>
        <v>10599</v>
      </c>
      <c r="AC460" s="136"/>
      <c r="AE460" s="22">
        <f>AE455+AE458</f>
        <v>10599</v>
      </c>
      <c r="AF460" s="199">
        <f>AF455+AF458</f>
        <v>10028</v>
      </c>
      <c r="AH460" s="22">
        <v>10599</v>
      </c>
      <c r="AI460" s="22">
        <f>AI455+AI458</f>
        <v>201</v>
      </c>
      <c r="AJ460" s="22">
        <f>AJ455+AJ458</f>
        <v>10800</v>
      </c>
      <c r="AK460" s="124">
        <f>IF(AH460=0," ",(AJ460-AH460)/AH460)</f>
        <v>1.8964053212567222E-2</v>
      </c>
      <c r="AM460" s="22">
        <f>AM455+AM458</f>
        <v>10800</v>
      </c>
      <c r="AN460" s="22">
        <f>AN455+AN458</f>
        <v>10800</v>
      </c>
      <c r="AP460" s="136"/>
      <c r="AR460" s="22">
        <f>AR455+AR458</f>
        <v>10800</v>
      </c>
      <c r="AS460" s="22">
        <f>AS455+AS458</f>
        <v>10228.92</v>
      </c>
      <c r="AU460" s="22">
        <f>AU455+AU458</f>
        <v>10800</v>
      </c>
      <c r="AV460" s="22">
        <f>AV455+AV458</f>
        <v>0</v>
      </c>
      <c r="AW460" s="22">
        <f>AW455+AW458</f>
        <v>10800</v>
      </c>
      <c r="AX460" s="124">
        <f>IF(AU460=0," ",(AW460-AU460)/AU460)</f>
        <v>0</v>
      </c>
      <c r="AZ460" s="22">
        <f>AZ455+AZ458</f>
        <v>10800</v>
      </c>
      <c r="BA460" s="22">
        <f>BA455+BA458</f>
        <v>10228.92</v>
      </c>
      <c r="BC460" s="136"/>
      <c r="BE460" s="22">
        <f>BE455+BE458</f>
        <v>10800</v>
      </c>
      <c r="BF460" s="22">
        <f>BF455+BF458</f>
        <v>10607.71</v>
      </c>
      <c r="BH460" s="22">
        <f>BH455+BH458</f>
        <v>10800</v>
      </c>
      <c r="BI460" s="22">
        <f>BI455+BI458</f>
        <v>0</v>
      </c>
      <c r="BJ460" s="22">
        <f>BJ455+BJ458</f>
        <v>10800</v>
      </c>
      <c r="BK460" s="124">
        <f>IF(BH460=0," ",(BJ460-BH460)/BH460)</f>
        <v>0</v>
      </c>
      <c r="BM460" s="22">
        <f>BM455+BM458</f>
        <v>10800</v>
      </c>
      <c r="BN460" s="22">
        <f>BN455+BN458</f>
        <v>10800</v>
      </c>
      <c r="BP460" s="136"/>
      <c r="BR460" s="22">
        <f>BR455+BR458</f>
        <v>10800</v>
      </c>
      <c r="BS460" s="22">
        <f>BS455+BS458</f>
        <v>5114.46</v>
      </c>
      <c r="BU460" s="22">
        <f>BU455+BU458</f>
        <v>10800</v>
      </c>
      <c r="BV460" s="531">
        <f>BV455+BV458</f>
        <v>0</v>
      </c>
      <c r="BW460" s="581">
        <f>BW455+BW458</f>
        <v>10800</v>
      </c>
      <c r="BX460" s="582">
        <f>IF(BU460=0," ",(BW460-BU460)/BU460)</f>
        <v>0</v>
      </c>
      <c r="BY460" s="573"/>
      <c r="BZ460" s="581">
        <f>BZ455+BZ458</f>
        <v>10800</v>
      </c>
      <c r="CA460" s="581">
        <f>CA455+CA458</f>
        <v>10800</v>
      </c>
      <c r="CB460" s="573"/>
      <c r="CC460" s="764"/>
      <c r="CD460" s="573"/>
      <c r="CE460" s="581">
        <f>CE455+CE458</f>
        <v>10800</v>
      </c>
      <c r="CF460" s="581">
        <f>CF455+CF458</f>
        <v>0</v>
      </c>
      <c r="CH460" s="812"/>
      <c r="CI460" s="812"/>
      <c r="CJ460" s="886"/>
      <c r="CO460" s="16"/>
    </row>
    <row r="461" spans="1:93" ht="20.100000000000001" customHeight="1" x14ac:dyDescent="0.3">
      <c r="AS461" s="16"/>
      <c r="CJ461" s="886"/>
      <c r="CO461" s="16"/>
    </row>
    <row r="462" spans="1:93" s="1" customFormat="1" ht="15.6" x14ac:dyDescent="0.3">
      <c r="A462" s="14" t="s">
        <v>176</v>
      </c>
      <c r="B462" s="2"/>
      <c r="C462" s="36"/>
      <c r="D462" s="36"/>
      <c r="E462" s="48"/>
      <c r="F462" s="2"/>
      <c r="G462" s="2"/>
      <c r="H462" s="15"/>
      <c r="I462" s="15"/>
      <c r="J462" s="15"/>
      <c r="K462" s="121"/>
      <c r="M462" s="15"/>
      <c r="N462" s="15"/>
      <c r="P462" s="133"/>
      <c r="R462" s="15"/>
      <c r="S462" s="15"/>
      <c r="U462" s="15"/>
      <c r="V462" s="15"/>
      <c r="W462" s="15"/>
      <c r="X462" s="121"/>
      <c r="Z462" s="15"/>
      <c r="AA462" s="15"/>
      <c r="AC462" s="133"/>
      <c r="AE462" s="15"/>
      <c r="AF462" s="196"/>
      <c r="AH462" s="15"/>
      <c r="AI462" s="15"/>
      <c r="AJ462" s="15"/>
      <c r="AK462" s="121"/>
      <c r="AM462" s="15"/>
      <c r="AN462" s="15"/>
      <c r="AP462" s="133"/>
      <c r="AR462" s="15"/>
      <c r="AS462" s="15"/>
      <c r="AU462" s="15"/>
      <c r="AV462" s="15"/>
      <c r="AW462" s="15"/>
      <c r="AX462" s="121"/>
      <c r="AZ462" s="15"/>
      <c r="BA462" s="15"/>
      <c r="BC462" s="133"/>
      <c r="BE462" s="15"/>
      <c r="BF462" s="15"/>
      <c r="BH462" s="15"/>
      <c r="BI462" s="15"/>
      <c r="BJ462" s="15"/>
      <c r="BK462" s="121"/>
      <c r="BM462" s="15"/>
      <c r="BN462" s="15"/>
      <c r="BP462" s="234"/>
      <c r="BR462" s="15"/>
      <c r="BS462" s="15"/>
      <c r="BU462" s="15"/>
      <c r="BV462" s="529"/>
      <c r="BW462" s="574"/>
      <c r="BX462" s="575"/>
      <c r="BY462" s="573"/>
      <c r="BZ462" s="574"/>
      <c r="CA462" s="574"/>
      <c r="CB462" s="573"/>
      <c r="CC462" s="761"/>
      <c r="CD462" s="573"/>
      <c r="CE462" s="574"/>
      <c r="CF462" s="574"/>
      <c r="CH462" s="812"/>
      <c r="CI462" s="812"/>
      <c r="CJ462" s="886"/>
      <c r="CO462" s="16"/>
    </row>
    <row r="463" spans="1:93" x14ac:dyDescent="0.3">
      <c r="A463" s="11">
        <v>294</v>
      </c>
      <c r="B463" s="3" t="s">
        <v>2</v>
      </c>
      <c r="C463" s="37">
        <v>29401</v>
      </c>
      <c r="D463" s="37">
        <v>51120</v>
      </c>
      <c r="E463" s="49" t="s">
        <v>119</v>
      </c>
      <c r="F463" s="3" t="s">
        <v>2</v>
      </c>
      <c r="G463" s="3" t="s">
        <v>103</v>
      </c>
      <c r="H463" s="26">
        <v>7449</v>
      </c>
      <c r="I463" s="244">
        <v>148.97999999999999</v>
      </c>
      <c r="J463" s="16">
        <f>H463+I463</f>
        <v>7597.98</v>
      </c>
      <c r="K463" s="122">
        <f>IF(H463=0," ",(J463-H463)/H463)</f>
        <v>1.9999999999999941E-2</v>
      </c>
      <c r="M463" s="117">
        <v>7598</v>
      </c>
      <c r="N463" s="117">
        <v>7598</v>
      </c>
      <c r="P463" s="259" t="s">
        <v>550</v>
      </c>
      <c r="R463" s="26">
        <v>7598</v>
      </c>
      <c r="S463" s="26">
        <v>7598</v>
      </c>
      <c r="U463" s="26">
        <v>7598</v>
      </c>
      <c r="V463" s="244">
        <v>0</v>
      </c>
      <c r="W463" s="16">
        <f>U463+V463</f>
        <v>7598</v>
      </c>
      <c r="X463" s="122">
        <f>IF(U463=0," ",(W463-U463)/U463)</f>
        <v>0</v>
      </c>
      <c r="Z463" s="117">
        <v>7598</v>
      </c>
      <c r="AA463" s="117">
        <v>7598</v>
      </c>
      <c r="AC463" s="259"/>
      <c r="AE463" s="26">
        <v>7598</v>
      </c>
      <c r="AF463" s="200">
        <v>7598</v>
      </c>
      <c r="AH463" s="26">
        <v>7598</v>
      </c>
      <c r="AI463" s="244">
        <v>152</v>
      </c>
      <c r="AJ463" s="16">
        <f>AH463+AI463</f>
        <v>7750</v>
      </c>
      <c r="AK463" s="122">
        <f>IF(AH463=0," ",(AJ463-AH463)/AH463)</f>
        <v>2.0005264543300868E-2</v>
      </c>
      <c r="AM463" s="117">
        <v>7750</v>
      </c>
      <c r="AN463" s="117">
        <v>7750</v>
      </c>
      <c r="AP463" s="259" t="s">
        <v>788</v>
      </c>
      <c r="AR463" s="26">
        <v>7750</v>
      </c>
      <c r="AS463" s="26">
        <v>7749.96</v>
      </c>
      <c r="AU463" s="26">
        <f>AR463</f>
        <v>7750</v>
      </c>
      <c r="AV463" s="244"/>
      <c r="AW463" s="16">
        <f>AU463+AV463</f>
        <v>7750</v>
      </c>
      <c r="AX463" s="122">
        <f>IF(AU463=0," ",(AW463-AU463)/AU463)</f>
        <v>0</v>
      </c>
      <c r="AZ463" s="117">
        <v>7750</v>
      </c>
      <c r="BA463" s="117">
        <v>7749.96</v>
      </c>
      <c r="BC463" s="259"/>
      <c r="BE463" s="26">
        <v>7750</v>
      </c>
      <c r="BF463" s="26">
        <v>7750</v>
      </c>
      <c r="BH463" s="26">
        <v>7750</v>
      </c>
      <c r="BI463" s="244"/>
      <c r="BJ463" s="16">
        <f>BH463+BI463</f>
        <v>7750</v>
      </c>
      <c r="BK463" s="122">
        <f>IF(BH463=0," ",(BJ463-BH463)/BH463)</f>
        <v>0</v>
      </c>
      <c r="BM463" s="117">
        <v>7750</v>
      </c>
      <c r="BN463" s="117">
        <v>7750</v>
      </c>
      <c r="BP463" s="259"/>
      <c r="BR463" s="117">
        <v>7750</v>
      </c>
      <c r="BS463" s="26">
        <v>3874.98</v>
      </c>
      <c r="BU463" s="26">
        <v>7750</v>
      </c>
      <c r="BV463" s="244"/>
      <c r="BW463" s="576">
        <f>BU463+BV463</f>
        <v>7750</v>
      </c>
      <c r="BX463" s="577">
        <f>IF(BU463=0," ",(BW463-BU463)/BU463)</f>
        <v>0</v>
      </c>
      <c r="BZ463" s="166">
        <v>7750</v>
      </c>
      <c r="CA463" s="166">
        <v>7750</v>
      </c>
      <c r="CC463" s="753"/>
      <c r="CE463" s="166">
        <v>7750</v>
      </c>
      <c r="CF463" s="166"/>
      <c r="CJ463" s="886"/>
      <c r="CO463" s="16"/>
    </row>
    <row r="464" spans="1:93" s="19" customFormat="1" x14ac:dyDescent="0.3">
      <c r="A464" s="27"/>
      <c r="B464" s="8"/>
      <c r="C464" s="42"/>
      <c r="D464" s="42"/>
      <c r="E464" s="54"/>
      <c r="F464" s="8"/>
      <c r="G464" s="57" t="s">
        <v>177</v>
      </c>
      <c r="H464" s="28">
        <f t="shared" ref="H464" si="244">SUM(H463)</f>
        <v>7449</v>
      </c>
      <c r="I464" s="28">
        <f>SUM(I463)</f>
        <v>148.97999999999999</v>
      </c>
      <c r="J464" s="28">
        <f>SUM(J463)</f>
        <v>7597.98</v>
      </c>
      <c r="K464" s="123">
        <f>IF(H464=0," ",(J464-H464)/H464)</f>
        <v>1.9999999999999941E-2</v>
      </c>
      <c r="M464" s="28">
        <f>SUM(M463)</f>
        <v>7598</v>
      </c>
      <c r="N464" s="28">
        <f>SUM(N463)</f>
        <v>7598</v>
      </c>
      <c r="P464" s="139">
        <f>SUM(P463)</f>
        <v>0</v>
      </c>
      <c r="R464" s="28">
        <f>SUM(R463)</f>
        <v>7598</v>
      </c>
      <c r="S464" s="28">
        <f>SUM(S463)</f>
        <v>7598</v>
      </c>
      <c r="U464" s="28">
        <f>SUM(U463)</f>
        <v>7598</v>
      </c>
      <c r="V464" s="28">
        <f>SUM(V463)</f>
        <v>0</v>
      </c>
      <c r="W464" s="28">
        <f>SUM(W463)</f>
        <v>7598</v>
      </c>
      <c r="X464" s="123">
        <f>IF(U464=0," ",(W464-U464)/U464)</f>
        <v>0</v>
      </c>
      <c r="Z464" s="28">
        <f>SUM(Z463)</f>
        <v>7598</v>
      </c>
      <c r="AA464" s="28">
        <f>SUM(AA463)</f>
        <v>7598</v>
      </c>
      <c r="AC464" s="139"/>
      <c r="AE464" s="28">
        <f>SUM(AE463)</f>
        <v>7598</v>
      </c>
      <c r="AF464" s="201">
        <f>SUM(AF463)</f>
        <v>7598</v>
      </c>
      <c r="AH464" s="201">
        <f>SUM(AH463)</f>
        <v>7598</v>
      </c>
      <c r="AI464" s="201">
        <f>SUM(AI463)</f>
        <v>152</v>
      </c>
      <c r="AJ464" s="201">
        <f>SUM(AJ463)</f>
        <v>7750</v>
      </c>
      <c r="AK464" s="123">
        <f>IF(AH464=0," ",(AJ464-AH464)/AH464)</f>
        <v>2.0005264543300868E-2</v>
      </c>
      <c r="AM464" s="201">
        <f>SUM(AM463)</f>
        <v>7750</v>
      </c>
      <c r="AN464" s="201">
        <f>SUM(AN463)</f>
        <v>7750</v>
      </c>
      <c r="AP464" s="139"/>
      <c r="AR464" s="28">
        <f>SUM(AR463)</f>
        <v>7750</v>
      </c>
      <c r="AS464" s="28">
        <f>SUM(AS463)</f>
        <v>7749.96</v>
      </c>
      <c r="AU464" s="28">
        <f>SUM(AU463)</f>
        <v>7750</v>
      </c>
      <c r="AV464" s="28">
        <f>SUM(AV463)</f>
        <v>0</v>
      </c>
      <c r="AW464" s="28">
        <f>SUM(AW463)</f>
        <v>7750</v>
      </c>
      <c r="AX464" s="123">
        <f>IF(AU464=0," ",(AW464-AU464)/AU464)</f>
        <v>0</v>
      </c>
      <c r="AZ464" s="28">
        <f>SUM(AZ463)</f>
        <v>7750</v>
      </c>
      <c r="BA464" s="28">
        <f>SUM(BA463)</f>
        <v>7749.96</v>
      </c>
      <c r="BC464" s="139"/>
      <c r="BE464" s="28">
        <f>SUM(BE463)</f>
        <v>7750</v>
      </c>
      <c r="BF464" s="28">
        <f>SUM(BF463)</f>
        <v>7750</v>
      </c>
      <c r="BG464" s="9"/>
      <c r="BH464" s="28">
        <f>SUM(BH463)</f>
        <v>7750</v>
      </c>
      <c r="BI464" s="28">
        <f>SUM(BI463)</f>
        <v>0</v>
      </c>
      <c r="BJ464" s="28">
        <f>SUM(BJ463)</f>
        <v>7750</v>
      </c>
      <c r="BK464" s="123">
        <f>IF(BH464=0," ",(BJ464-BH464)/BH464)</f>
        <v>0</v>
      </c>
      <c r="BM464" s="28">
        <f>SUM(BM463)</f>
        <v>7750</v>
      </c>
      <c r="BN464" s="28">
        <f>SUM(BN463)</f>
        <v>7750</v>
      </c>
      <c r="BP464" s="139"/>
      <c r="BR464" s="28">
        <f>SUM(BR463)</f>
        <v>7750</v>
      </c>
      <c r="BS464" s="28">
        <f>SUM(BS463)</f>
        <v>3874.98</v>
      </c>
      <c r="BT464" s="9"/>
      <c r="BU464" s="28">
        <f>SUM(BU463)</f>
        <v>7750</v>
      </c>
      <c r="BV464" s="532">
        <f>SUM(BV463)</f>
        <v>0</v>
      </c>
      <c r="BW464" s="591">
        <f>SUM(BW463)</f>
        <v>7750</v>
      </c>
      <c r="BX464" s="579">
        <f>IF(BU464=0," ",(BW464-BU464)/BU464)</f>
        <v>0</v>
      </c>
      <c r="BY464" s="580"/>
      <c r="BZ464" s="591">
        <f>SUM(BZ463)</f>
        <v>7750</v>
      </c>
      <c r="CA464" s="591">
        <f>SUM(CA463)</f>
        <v>7750</v>
      </c>
      <c r="CB464" s="580"/>
      <c r="CC464" s="769"/>
      <c r="CD464" s="580"/>
      <c r="CE464" s="591">
        <f>SUM(CE463)</f>
        <v>7750</v>
      </c>
      <c r="CF464" s="591">
        <f>SUM(CF463)</f>
        <v>0</v>
      </c>
      <c r="CG464" s="9"/>
      <c r="CH464" s="815"/>
      <c r="CI464" s="815"/>
      <c r="CJ464" s="886"/>
      <c r="CO464" s="16"/>
    </row>
    <row r="465" spans="1:93" x14ac:dyDescent="0.3">
      <c r="AS465" s="16"/>
      <c r="CJ465" s="886"/>
      <c r="CO465" s="16"/>
    </row>
    <row r="466" spans="1:93" x14ac:dyDescent="0.3">
      <c r="A466" s="11">
        <v>294</v>
      </c>
      <c r="B466" s="3" t="s">
        <v>2</v>
      </c>
      <c r="C466" s="37">
        <v>29405</v>
      </c>
      <c r="D466" s="37">
        <v>51930</v>
      </c>
      <c r="E466" s="49" t="s">
        <v>118</v>
      </c>
      <c r="F466" s="3" t="s">
        <v>2</v>
      </c>
      <c r="G466" s="3" t="s">
        <v>101</v>
      </c>
      <c r="H466" s="26">
        <v>0</v>
      </c>
      <c r="I466" s="244"/>
      <c r="J466" s="16">
        <f>H466+I466</f>
        <v>0</v>
      </c>
      <c r="K466" s="122" t="str">
        <f>IF(H466=0," ",(J466-H466)/H466)</f>
        <v xml:space="preserve"> </v>
      </c>
      <c r="M466" s="117">
        <v>0</v>
      </c>
      <c r="N466" s="117">
        <v>0</v>
      </c>
      <c r="P466" s="259"/>
      <c r="R466" s="26">
        <v>0</v>
      </c>
      <c r="S466" s="26">
        <v>0</v>
      </c>
      <c r="U466" s="26">
        <v>0</v>
      </c>
      <c r="V466" s="244">
        <v>0</v>
      </c>
      <c r="W466" s="16">
        <f>U466+V466</f>
        <v>0</v>
      </c>
      <c r="X466" s="122" t="str">
        <f>IF(U466=0," ",(W466-U466)/U466)</f>
        <v xml:space="preserve"> </v>
      </c>
      <c r="Z466" s="117">
        <v>0</v>
      </c>
      <c r="AA466" s="117">
        <v>0</v>
      </c>
      <c r="AC466" s="259"/>
      <c r="AE466" s="26">
        <v>0</v>
      </c>
      <c r="AF466" s="200">
        <v>0</v>
      </c>
      <c r="AH466" s="26">
        <v>0</v>
      </c>
      <c r="AI466" s="244"/>
      <c r="AJ466" s="16">
        <f>AH466+AI466</f>
        <v>0</v>
      </c>
      <c r="AK466" s="122" t="str">
        <f>IF(AH466=0," ",(AJ466-AH466)/AH466)</f>
        <v xml:space="preserve"> </v>
      </c>
      <c r="AM466" s="117">
        <v>0</v>
      </c>
      <c r="AN466" s="117">
        <v>0</v>
      </c>
      <c r="AP466" s="259"/>
      <c r="AR466" s="26">
        <v>0</v>
      </c>
      <c r="AS466" s="26"/>
      <c r="AU466" s="26">
        <f>AR466</f>
        <v>0</v>
      </c>
      <c r="AV466" s="244"/>
      <c r="AW466" s="16">
        <f>AU466+AV466</f>
        <v>0</v>
      </c>
      <c r="AX466" s="122" t="str">
        <f>IF(AU466=0," ",(AW466-AU466)/AU466)</f>
        <v xml:space="preserve"> </v>
      </c>
      <c r="AZ466" s="117"/>
      <c r="BA466" s="117"/>
      <c r="BC466" s="259"/>
      <c r="BE466" s="26"/>
      <c r="BF466" s="26"/>
      <c r="BH466" s="26"/>
      <c r="BI466" s="244"/>
      <c r="BJ466" s="16">
        <f>BH466+BI466</f>
        <v>0</v>
      </c>
      <c r="BK466" s="122" t="str">
        <f>IF(BH466=0," ",(BJ466-BH466)/BH466)</f>
        <v xml:space="preserve"> </v>
      </c>
      <c r="BM466" s="117">
        <v>0</v>
      </c>
      <c r="BN466" s="117">
        <v>0</v>
      </c>
      <c r="BP466" s="259"/>
      <c r="BR466" s="117">
        <v>0</v>
      </c>
      <c r="BS466" s="26"/>
      <c r="BU466" s="26"/>
      <c r="BV466" s="244"/>
      <c r="BW466" s="576">
        <f>BU466+BV466</f>
        <v>0</v>
      </c>
      <c r="BX466" s="577" t="str">
        <f>IF(BU466=0," ",(BW466-BU466)/BU466)</f>
        <v xml:space="preserve"> </v>
      </c>
      <c r="BZ466" s="166">
        <v>0</v>
      </c>
      <c r="CA466" s="166">
        <v>0</v>
      </c>
      <c r="CC466" s="753"/>
      <c r="CE466" s="166">
        <v>0</v>
      </c>
      <c r="CF466" s="166"/>
      <c r="CJ466" s="886"/>
      <c r="CO466" s="16"/>
    </row>
    <row r="467" spans="1:93" x14ac:dyDescent="0.3">
      <c r="A467" s="11">
        <v>294</v>
      </c>
      <c r="B467" s="3" t="s">
        <v>2</v>
      </c>
      <c r="C467" s="37">
        <v>29405</v>
      </c>
      <c r="D467" s="37">
        <v>53800</v>
      </c>
      <c r="E467" s="49" t="s">
        <v>118</v>
      </c>
      <c r="F467" s="3" t="s">
        <v>2</v>
      </c>
      <c r="G467" s="3" t="s">
        <v>102</v>
      </c>
      <c r="H467" s="26">
        <v>1000</v>
      </c>
      <c r="I467" s="244"/>
      <c r="J467" s="16">
        <f>H467+I467</f>
        <v>1000</v>
      </c>
      <c r="K467" s="122">
        <f>IF(H467=0," ",(J467-H467)/H467)</f>
        <v>0</v>
      </c>
      <c r="M467" s="117">
        <v>1000</v>
      </c>
      <c r="N467" s="117">
        <v>1000</v>
      </c>
      <c r="P467" s="259"/>
      <c r="R467" s="26">
        <v>1000</v>
      </c>
      <c r="S467" s="26">
        <v>0</v>
      </c>
      <c r="U467" s="26">
        <v>1000</v>
      </c>
      <c r="V467" s="244">
        <v>0</v>
      </c>
      <c r="W467" s="16">
        <f>U467+V467</f>
        <v>1000</v>
      </c>
      <c r="X467" s="122">
        <f>IF(U467=0," ",(W467-U467)/U467)</f>
        <v>0</v>
      </c>
      <c r="Z467" s="117">
        <v>1000</v>
      </c>
      <c r="AA467" s="117">
        <v>1000</v>
      </c>
      <c r="AC467" s="259"/>
      <c r="AE467" s="26">
        <v>1000</v>
      </c>
      <c r="AF467" s="200">
        <v>0</v>
      </c>
      <c r="AH467" s="26">
        <v>1000</v>
      </c>
      <c r="AI467" s="244"/>
      <c r="AJ467" s="16">
        <f>AH467+AI467</f>
        <v>1000</v>
      </c>
      <c r="AK467" s="122">
        <f>IF(AH467=0," ",(AJ467-AH467)/AH467)</f>
        <v>0</v>
      </c>
      <c r="AM467" s="117">
        <v>1000</v>
      </c>
      <c r="AN467" s="117">
        <v>1000</v>
      </c>
      <c r="AP467" s="259"/>
      <c r="AR467" s="26">
        <v>1000</v>
      </c>
      <c r="AS467" s="26">
        <v>0</v>
      </c>
      <c r="AU467" s="26">
        <f>AR467</f>
        <v>1000</v>
      </c>
      <c r="AV467" s="244"/>
      <c r="AW467" s="16">
        <f>AU467+AV467</f>
        <v>1000</v>
      </c>
      <c r="AX467" s="122">
        <f>IF(AU467=0," ",(AW467-AU467)/AU467)</f>
        <v>0</v>
      </c>
      <c r="AZ467" s="117">
        <v>1000</v>
      </c>
      <c r="BA467" s="117">
        <v>0</v>
      </c>
      <c r="BC467" s="259"/>
      <c r="BE467" s="26">
        <v>1000</v>
      </c>
      <c r="BF467" s="26">
        <v>0</v>
      </c>
      <c r="BH467" s="26">
        <v>1000</v>
      </c>
      <c r="BI467" s="244"/>
      <c r="BJ467" s="16">
        <f>BH467+BI467</f>
        <v>1000</v>
      </c>
      <c r="BK467" s="122">
        <f>IF(BH467=0," ",(BJ467-BH467)/BH467)</f>
        <v>0</v>
      </c>
      <c r="BM467" s="117">
        <v>1000</v>
      </c>
      <c r="BN467" s="117">
        <v>1000</v>
      </c>
      <c r="BP467" s="259"/>
      <c r="BR467" s="117">
        <v>1000</v>
      </c>
      <c r="BS467" s="26">
        <v>0</v>
      </c>
      <c r="BU467" s="26">
        <v>1000</v>
      </c>
      <c r="BV467" s="244"/>
      <c r="BW467" s="576">
        <f>BU467+BV467</f>
        <v>1000</v>
      </c>
      <c r="BX467" s="577">
        <f>IF(BU467=0," ",(BW467-BU467)/BU467)</f>
        <v>0</v>
      </c>
      <c r="BZ467" s="166">
        <v>1000</v>
      </c>
      <c r="CA467" s="166">
        <v>1000</v>
      </c>
      <c r="CC467" s="753"/>
      <c r="CE467" s="166">
        <v>1000</v>
      </c>
      <c r="CF467" s="166"/>
      <c r="CJ467" s="886"/>
      <c r="CO467" s="16"/>
    </row>
    <row r="468" spans="1:93" x14ac:dyDescent="0.3">
      <c r="A468" s="11">
        <v>294</v>
      </c>
      <c r="B468" s="3" t="s">
        <v>2</v>
      </c>
      <c r="C468" s="37">
        <v>29405</v>
      </c>
      <c r="D468" s="37">
        <v>57100</v>
      </c>
      <c r="E468" s="49" t="s">
        <v>118</v>
      </c>
      <c r="F468" s="3" t="s">
        <v>2</v>
      </c>
      <c r="G468" s="3" t="s">
        <v>107</v>
      </c>
      <c r="H468" s="26">
        <v>840</v>
      </c>
      <c r="I468" s="244"/>
      <c r="J468" s="16">
        <f>H468+I468</f>
        <v>840</v>
      </c>
      <c r="K468" s="122">
        <f>IF(H468=0," ",(J468-H468)/H468)</f>
        <v>0</v>
      </c>
      <c r="M468" s="117">
        <v>840</v>
      </c>
      <c r="N468" s="117">
        <v>840</v>
      </c>
      <c r="P468" s="259"/>
      <c r="R468" s="26">
        <v>840</v>
      </c>
      <c r="S468" s="26">
        <v>0</v>
      </c>
      <c r="U468" s="26">
        <v>840</v>
      </c>
      <c r="V468" s="244">
        <v>0</v>
      </c>
      <c r="W468" s="16">
        <f>U468+V468</f>
        <v>840</v>
      </c>
      <c r="X468" s="122">
        <f>IF(U468=0," ",(W468-U468)/U468)</f>
        <v>0</v>
      </c>
      <c r="Z468" s="117">
        <v>840</v>
      </c>
      <c r="AA468" s="117">
        <v>840</v>
      </c>
      <c r="AC468" s="259"/>
      <c r="AE468" s="26">
        <v>840</v>
      </c>
      <c r="AF468" s="200">
        <v>0</v>
      </c>
      <c r="AH468" s="26">
        <v>840</v>
      </c>
      <c r="AI468" s="244"/>
      <c r="AJ468" s="16">
        <f>AH468+AI468</f>
        <v>840</v>
      </c>
      <c r="AK468" s="122">
        <f>IF(AH468=0," ",(AJ468-AH468)/AH468)</f>
        <v>0</v>
      </c>
      <c r="AM468" s="117">
        <v>840</v>
      </c>
      <c r="AN468" s="117">
        <v>840</v>
      </c>
      <c r="AP468" s="259"/>
      <c r="AR468" s="26">
        <v>840</v>
      </c>
      <c r="AS468" s="26">
        <v>0</v>
      </c>
      <c r="AU468" s="26">
        <f>AR468</f>
        <v>840</v>
      </c>
      <c r="AV468" s="244"/>
      <c r="AW468" s="16">
        <f>AU468+AV468</f>
        <v>840</v>
      </c>
      <c r="AX468" s="122">
        <f>IF(AU468=0," ",(AW468-AU468)/AU468)</f>
        <v>0</v>
      </c>
      <c r="AZ468" s="117">
        <v>840</v>
      </c>
      <c r="BA468" s="117">
        <v>0</v>
      </c>
      <c r="BC468" s="259"/>
      <c r="BE468" s="26">
        <v>840</v>
      </c>
      <c r="BF468" s="26">
        <v>0</v>
      </c>
      <c r="BH468" s="26">
        <v>840</v>
      </c>
      <c r="BI468" s="244"/>
      <c r="BJ468" s="16">
        <f>BH468+BI468</f>
        <v>840</v>
      </c>
      <c r="BK468" s="122">
        <f>IF(BH468=0," ",(BJ468-BH468)/BH468)</f>
        <v>0</v>
      </c>
      <c r="BM468" s="117">
        <v>840</v>
      </c>
      <c r="BN468" s="117">
        <v>840</v>
      </c>
      <c r="BP468" s="259"/>
      <c r="BR468" s="117">
        <v>840</v>
      </c>
      <c r="BS468" s="26">
        <v>0</v>
      </c>
      <c r="BU468" s="26">
        <v>840</v>
      </c>
      <c r="BV468" s="244"/>
      <c r="BW468" s="576">
        <f>BU468+BV468</f>
        <v>840</v>
      </c>
      <c r="BX468" s="577">
        <f>IF(BU468=0," ",(BW468-BU468)/BU468)</f>
        <v>0</v>
      </c>
      <c r="BZ468" s="166">
        <v>840</v>
      </c>
      <c r="CA468" s="166">
        <v>840</v>
      </c>
      <c r="CC468" s="753"/>
      <c r="CE468" s="166">
        <v>840</v>
      </c>
      <c r="CF468" s="166"/>
      <c r="CJ468" s="886"/>
      <c r="CO468" s="16"/>
    </row>
    <row r="469" spans="1:93" s="19" customFormat="1" x14ac:dyDescent="0.3">
      <c r="A469" s="27"/>
      <c r="B469" s="8"/>
      <c r="C469" s="42"/>
      <c r="D469" s="42"/>
      <c r="E469" s="54"/>
      <c r="F469" s="8"/>
      <c r="G469" s="57" t="s">
        <v>179</v>
      </c>
      <c r="H469" s="28">
        <f t="shared" ref="H469" si="245">SUM(H466:H468)</f>
        <v>1840</v>
      </c>
      <c r="I469" s="28">
        <f>SUM(I466:I468)</f>
        <v>0</v>
      </c>
      <c r="J469" s="28">
        <f>SUM(J466:J468)</f>
        <v>1840</v>
      </c>
      <c r="K469" s="123">
        <f>IF(H469=0," ",(J469-H469)/H469)</f>
        <v>0</v>
      </c>
      <c r="M469" s="28">
        <f>SUM(M466:M468)</f>
        <v>1840</v>
      </c>
      <c r="N469" s="28">
        <f>SUM(N466:N468)</f>
        <v>1840</v>
      </c>
      <c r="P469" s="139">
        <f>SUM(P466:P468)</f>
        <v>0</v>
      </c>
      <c r="R469" s="28">
        <f>SUM(R466:R468)</f>
        <v>1840</v>
      </c>
      <c r="S469" s="28">
        <f>SUM(S466:S468)</f>
        <v>0</v>
      </c>
      <c r="U469" s="28">
        <f>SUM(U466:U468)</f>
        <v>1840</v>
      </c>
      <c r="V469" s="28">
        <f>SUM(V466:V468)</f>
        <v>0</v>
      </c>
      <c r="W469" s="28">
        <f>SUM(W466:W468)</f>
        <v>1840</v>
      </c>
      <c r="X469" s="123">
        <f>IF(U469=0," ",(W469-U469)/U469)</f>
        <v>0</v>
      </c>
      <c r="Z469" s="28">
        <f>SUM(Z466:Z468)</f>
        <v>1840</v>
      </c>
      <c r="AA469" s="28">
        <f>SUM(AA466:AA468)</f>
        <v>1840</v>
      </c>
      <c r="AC469" s="139"/>
      <c r="AE469" s="28">
        <f>SUM(AE466:AE468)</f>
        <v>1840</v>
      </c>
      <c r="AF469" s="201">
        <f>SUM(AF466:AF468)</f>
        <v>0</v>
      </c>
      <c r="AH469" s="28">
        <v>1840</v>
      </c>
      <c r="AI469" s="28">
        <f>SUM(AI466:AI468)</f>
        <v>0</v>
      </c>
      <c r="AJ469" s="28">
        <f>SUM(AJ466:AJ468)</f>
        <v>1840</v>
      </c>
      <c r="AK469" s="123">
        <f>IF(AH469=0," ",(AJ469-AH469)/AH469)</f>
        <v>0</v>
      </c>
      <c r="AM469" s="28">
        <f>SUM(AM466:AM468)</f>
        <v>1840</v>
      </c>
      <c r="AN469" s="28">
        <f>SUM(AN466:AN468)</f>
        <v>1840</v>
      </c>
      <c r="AP469" s="139"/>
      <c r="AR469" s="28">
        <f>SUM(AR466:AR468)</f>
        <v>1840</v>
      </c>
      <c r="AS469" s="28">
        <f>SUM(AS466:AS468)</f>
        <v>0</v>
      </c>
      <c r="AU469" s="28">
        <f>SUM(AU466:AU468)</f>
        <v>1840</v>
      </c>
      <c r="AV469" s="28">
        <f>SUM(AV466:AV468)</f>
        <v>0</v>
      </c>
      <c r="AW469" s="28">
        <f>SUM(AW466:AW468)</f>
        <v>1840</v>
      </c>
      <c r="AX469" s="123">
        <f>IF(AU469=0," ",(AW469-AU469)/AU469)</f>
        <v>0</v>
      </c>
      <c r="AZ469" s="28">
        <f>SUM(AZ466:AZ468)</f>
        <v>1840</v>
      </c>
      <c r="BA469" s="28">
        <f>SUM(BA466:BA468)</f>
        <v>0</v>
      </c>
      <c r="BC469" s="139"/>
      <c r="BE469" s="28">
        <f>SUM(BE466:BE468)</f>
        <v>1840</v>
      </c>
      <c r="BF469" s="28">
        <f>SUM(BF466:BF468)</f>
        <v>0</v>
      </c>
      <c r="BG469" s="9"/>
      <c r="BH469" s="28">
        <f>SUM(BH466:BH468)</f>
        <v>1840</v>
      </c>
      <c r="BI469" s="28">
        <f>SUM(BI466:BI468)</f>
        <v>0</v>
      </c>
      <c r="BJ469" s="28">
        <f>SUM(BJ466:BJ468)</f>
        <v>1840</v>
      </c>
      <c r="BK469" s="123">
        <f>IF(BH469=0," ",(BJ469-BH469)/BH469)</f>
        <v>0</v>
      </c>
      <c r="BM469" s="28">
        <f>SUM(BM466:BM468)</f>
        <v>1840</v>
      </c>
      <c r="BN469" s="28">
        <f>SUM(BN466:BN468)</f>
        <v>1840</v>
      </c>
      <c r="BP469" s="139"/>
      <c r="BR469" s="28">
        <f>SUM(BR466:BR468)</f>
        <v>1840</v>
      </c>
      <c r="BS469" s="28">
        <f>SUM(BS466:BS468)</f>
        <v>0</v>
      </c>
      <c r="BT469" s="9"/>
      <c r="BU469" s="28">
        <f>SUM(BU466:BU468)</f>
        <v>1840</v>
      </c>
      <c r="BV469" s="532">
        <f>SUM(BV466:BV468)</f>
        <v>0</v>
      </c>
      <c r="BW469" s="591">
        <f>SUM(BW466:BW468)</f>
        <v>1840</v>
      </c>
      <c r="BX469" s="579">
        <f>IF(BU469=0," ",(BW469-BU469)/BU469)</f>
        <v>0</v>
      </c>
      <c r="BY469" s="580"/>
      <c r="BZ469" s="591">
        <f>SUM(BZ466:BZ468)</f>
        <v>1840</v>
      </c>
      <c r="CA469" s="591">
        <f>SUM(CA466:CA468)</f>
        <v>1840</v>
      </c>
      <c r="CB469" s="580"/>
      <c r="CC469" s="769"/>
      <c r="CD469" s="580"/>
      <c r="CE469" s="591">
        <f>SUM(CE466:CE468)</f>
        <v>1840</v>
      </c>
      <c r="CF469" s="591">
        <f>SUM(CF466:CF468)</f>
        <v>0</v>
      </c>
      <c r="CG469" s="9"/>
      <c r="CH469" s="815"/>
      <c r="CI469" s="815"/>
      <c r="CJ469" s="886"/>
      <c r="CO469" s="16"/>
    </row>
    <row r="470" spans="1:93" ht="9.9" customHeight="1" x14ac:dyDescent="0.3">
      <c r="AS470" s="16"/>
      <c r="CJ470" s="886"/>
      <c r="CO470" s="16"/>
    </row>
    <row r="471" spans="1:93" s="1" customFormat="1" x14ac:dyDescent="0.3">
      <c r="A471" s="20"/>
      <c r="B471" s="5"/>
      <c r="C471" s="39"/>
      <c r="D471" s="39"/>
      <c r="E471" s="51"/>
      <c r="F471" s="5"/>
      <c r="G471" s="21" t="s">
        <v>180</v>
      </c>
      <c r="H471" s="22">
        <f t="shared" ref="H471" si="246">H464+H469</f>
        <v>9289</v>
      </c>
      <c r="I471" s="22">
        <f>I464+I469</f>
        <v>148.97999999999999</v>
      </c>
      <c r="J471" s="22">
        <f>J464+J469</f>
        <v>9437.98</v>
      </c>
      <c r="K471" s="124">
        <f>IF(H471=0," ",(J471-H471)/H471)</f>
        <v>1.6038324900419804E-2</v>
      </c>
      <c r="M471" s="22">
        <f>M464+M469</f>
        <v>9438</v>
      </c>
      <c r="N471" s="22">
        <f>N464+N469</f>
        <v>9438</v>
      </c>
      <c r="P471" s="136">
        <f>P464+P469</f>
        <v>0</v>
      </c>
      <c r="R471" s="22">
        <f>R464+R469</f>
        <v>9438</v>
      </c>
      <c r="S471" s="22">
        <f>S464+S469</f>
        <v>7598</v>
      </c>
      <c r="U471" s="22">
        <f>U464+U469</f>
        <v>9438</v>
      </c>
      <c r="V471" s="22">
        <f>V464+V469</f>
        <v>0</v>
      </c>
      <c r="W471" s="22">
        <f>W464+W469</f>
        <v>9438</v>
      </c>
      <c r="X471" s="124">
        <f>IF(U471=0," ",(W471-U471)/U471)</f>
        <v>0</v>
      </c>
      <c r="Z471" s="22">
        <f>Z464+Z469</f>
        <v>9438</v>
      </c>
      <c r="AA471" s="22">
        <f>AA464+AA469</f>
        <v>9438</v>
      </c>
      <c r="AC471" s="136"/>
      <c r="AE471" s="22">
        <f>AE464+AE469</f>
        <v>9438</v>
      </c>
      <c r="AF471" s="199">
        <f>AF464+AF469</f>
        <v>7598</v>
      </c>
      <c r="AH471" s="22">
        <v>9438</v>
      </c>
      <c r="AI471" s="22">
        <f>AI464+AI469</f>
        <v>152</v>
      </c>
      <c r="AJ471" s="22">
        <f>AJ464+AJ469</f>
        <v>9590</v>
      </c>
      <c r="AK471" s="124">
        <f>IF(AH471=0," ",(AJ471-AH471)/AH471)</f>
        <v>1.6105107014197925E-2</v>
      </c>
      <c r="AM471" s="22">
        <f>AM464+AM469</f>
        <v>9590</v>
      </c>
      <c r="AN471" s="22">
        <f>AN464+AN469</f>
        <v>9590</v>
      </c>
      <c r="AP471" s="136"/>
      <c r="AR471" s="22">
        <f>AR464+AR469</f>
        <v>9590</v>
      </c>
      <c r="AS471" s="22">
        <f>AS464+AS469</f>
        <v>7749.96</v>
      </c>
      <c r="AU471" s="22">
        <f>AU464+AU469</f>
        <v>9590</v>
      </c>
      <c r="AV471" s="22">
        <f>AV464+AV469</f>
        <v>0</v>
      </c>
      <c r="AW471" s="22">
        <f>AW464+AW469</f>
        <v>9590</v>
      </c>
      <c r="AX471" s="124">
        <f>IF(AU471=0," ",(AW471-AU471)/AU471)</f>
        <v>0</v>
      </c>
      <c r="AZ471" s="22">
        <f>AZ464+AZ469</f>
        <v>9590</v>
      </c>
      <c r="BA471" s="22">
        <f>BA464+BA469</f>
        <v>7749.96</v>
      </c>
      <c r="BC471" s="136"/>
      <c r="BE471" s="22">
        <f>BE464+BE469</f>
        <v>9590</v>
      </c>
      <c r="BF471" s="22">
        <f>BF464+BF469</f>
        <v>7750</v>
      </c>
      <c r="BH471" s="22">
        <f>BH464+BH469</f>
        <v>9590</v>
      </c>
      <c r="BI471" s="22">
        <f>BI464+BI469</f>
        <v>0</v>
      </c>
      <c r="BJ471" s="22">
        <f>BJ464+BJ469</f>
        <v>9590</v>
      </c>
      <c r="BK471" s="124">
        <f>IF(BH471=0," ",(BJ471-BH471)/BH471)</f>
        <v>0</v>
      </c>
      <c r="BM471" s="22">
        <f>BM464+BM469</f>
        <v>9590</v>
      </c>
      <c r="BN471" s="22">
        <f>BN464+BN469</f>
        <v>9590</v>
      </c>
      <c r="BP471" s="136"/>
      <c r="BR471" s="22">
        <f>BR464+BR469</f>
        <v>9590</v>
      </c>
      <c r="BS471" s="22">
        <f>BS464+BS469</f>
        <v>3874.98</v>
      </c>
      <c r="BU471" s="22">
        <f>BU464+BU469</f>
        <v>9590</v>
      </c>
      <c r="BV471" s="531">
        <f>BV464+BV469</f>
        <v>0</v>
      </c>
      <c r="BW471" s="581">
        <f>BW464+BW469</f>
        <v>9590</v>
      </c>
      <c r="BX471" s="582">
        <f>IF(BU471=0," ",(BW471-BU471)/BU471)</f>
        <v>0</v>
      </c>
      <c r="BY471" s="573"/>
      <c r="BZ471" s="581">
        <f>BZ464+BZ469</f>
        <v>9590</v>
      </c>
      <c r="CA471" s="581">
        <f>CA464+CA469</f>
        <v>9590</v>
      </c>
      <c r="CB471" s="573"/>
      <c r="CC471" s="764"/>
      <c r="CD471" s="573"/>
      <c r="CE471" s="581">
        <f>CE464+CE469</f>
        <v>9590</v>
      </c>
      <c r="CF471" s="581">
        <f>CF464+CF469</f>
        <v>0</v>
      </c>
      <c r="CH471" s="812"/>
      <c r="CI471" s="812"/>
      <c r="CJ471" s="886"/>
      <c r="CO471" s="16"/>
    </row>
    <row r="472" spans="1:93" ht="20.100000000000001" customHeight="1" x14ac:dyDescent="0.3">
      <c r="AS472" s="16"/>
      <c r="CJ472" s="886"/>
      <c r="CO472" s="16"/>
    </row>
    <row r="473" spans="1:93" s="1" customFormat="1" ht="15.6" x14ac:dyDescent="0.3">
      <c r="A473" s="14" t="s">
        <v>223</v>
      </c>
      <c r="B473" s="2"/>
      <c r="C473" s="36"/>
      <c r="D473" s="36"/>
      <c r="E473" s="48"/>
      <c r="F473" s="2"/>
      <c r="G473" s="2"/>
      <c r="H473" s="15"/>
      <c r="I473" s="15"/>
      <c r="J473" s="15"/>
      <c r="K473" s="121"/>
      <c r="M473" s="15"/>
      <c r="N473" s="15"/>
      <c r="P473" s="133"/>
      <c r="R473" s="15"/>
      <c r="S473" s="15"/>
      <c r="U473" s="15"/>
      <c r="V473" s="15"/>
      <c r="W473" s="15"/>
      <c r="X473" s="121"/>
      <c r="Z473" s="15"/>
      <c r="AA473" s="15"/>
      <c r="AC473" s="133"/>
      <c r="AE473" s="15"/>
      <c r="AF473" s="196"/>
      <c r="AH473" s="15"/>
      <c r="AI473" s="15"/>
      <c r="AJ473" s="15"/>
      <c r="AK473" s="121"/>
      <c r="AM473" s="15"/>
      <c r="AN473" s="15"/>
      <c r="AP473" s="133"/>
      <c r="AR473" s="15"/>
      <c r="AS473" s="15"/>
      <c r="AU473" s="15"/>
      <c r="AV473" s="15"/>
      <c r="AW473" s="15"/>
      <c r="AX473" s="121"/>
      <c r="AZ473" s="15"/>
      <c r="BA473" s="15"/>
      <c r="BC473" s="133"/>
      <c r="BE473" s="15"/>
      <c r="BF473" s="15"/>
      <c r="BH473" s="15"/>
      <c r="BI473" s="15"/>
      <c r="BJ473" s="15"/>
      <c r="BK473" s="121"/>
      <c r="BM473" s="15"/>
      <c r="BN473" s="15"/>
      <c r="BP473" s="234"/>
      <c r="BR473" s="15"/>
      <c r="BS473" s="15"/>
      <c r="BU473" s="15"/>
      <c r="BV473" s="529"/>
      <c r="BW473" s="574"/>
      <c r="BX473" s="575"/>
      <c r="BY473" s="573"/>
      <c r="BZ473" s="574"/>
      <c r="CA473" s="574"/>
      <c r="CB473" s="573"/>
      <c r="CC473" s="761"/>
      <c r="CD473" s="573"/>
      <c r="CE473" s="574"/>
      <c r="CF473" s="574"/>
      <c r="CH473" s="812"/>
      <c r="CI473" s="812"/>
      <c r="CJ473" s="886"/>
      <c r="CO473" s="16"/>
    </row>
    <row r="474" spans="1:93" x14ac:dyDescent="0.3">
      <c r="A474" s="11">
        <v>295</v>
      </c>
      <c r="B474" s="3" t="s">
        <v>2</v>
      </c>
      <c r="C474" s="37">
        <v>29501</v>
      </c>
      <c r="D474" s="37">
        <v>51121</v>
      </c>
      <c r="E474" s="49" t="s">
        <v>119</v>
      </c>
      <c r="F474" s="3" t="s">
        <v>2</v>
      </c>
      <c r="G474" s="3" t="s">
        <v>224</v>
      </c>
      <c r="H474" s="26">
        <v>3222</v>
      </c>
      <c r="I474" s="245">
        <v>64.44</v>
      </c>
      <c r="J474" s="16">
        <f>H474+I474</f>
        <v>3286.44</v>
      </c>
      <c r="K474" s="122">
        <f>IF(H474=0," ",(J474-H474)/H474)</f>
        <v>2.0000000000000018E-2</v>
      </c>
      <c r="M474" s="118">
        <v>3287</v>
      </c>
      <c r="N474" s="118">
        <v>3287</v>
      </c>
      <c r="P474" s="137"/>
      <c r="R474" s="144">
        <v>3287</v>
      </c>
      <c r="S474" s="144">
        <v>3287</v>
      </c>
      <c r="U474" s="144">
        <v>3287</v>
      </c>
      <c r="V474" s="245">
        <v>0</v>
      </c>
      <c r="W474" s="16">
        <f>U474+V474</f>
        <v>3287</v>
      </c>
      <c r="X474" s="122">
        <f>IF(U474=0," ",(W474-U474)/U474)</f>
        <v>0</v>
      </c>
      <c r="Z474" s="118">
        <v>3287</v>
      </c>
      <c r="AA474" s="118">
        <v>3287</v>
      </c>
      <c r="AC474" s="137"/>
      <c r="AE474" s="144">
        <v>3287</v>
      </c>
      <c r="AF474" s="271">
        <v>3287</v>
      </c>
      <c r="AH474" s="144">
        <v>3287</v>
      </c>
      <c r="AI474" s="245">
        <v>65</v>
      </c>
      <c r="AJ474" s="16">
        <f>AH474+AI474</f>
        <v>3352</v>
      </c>
      <c r="AK474" s="122">
        <f>IF(AH474=0," ",(AJ474-AH474)/AH474)</f>
        <v>1.9774870702768482E-2</v>
      </c>
      <c r="AM474" s="118">
        <v>3352</v>
      </c>
      <c r="AN474" s="118">
        <v>3352</v>
      </c>
      <c r="AP474" s="259" t="s">
        <v>813</v>
      </c>
      <c r="AR474" s="144">
        <v>3352</v>
      </c>
      <c r="AS474" s="26">
        <v>3351.96</v>
      </c>
      <c r="AU474" s="26">
        <f>AR474</f>
        <v>3352</v>
      </c>
      <c r="AV474" s="245"/>
      <c r="AW474" s="16">
        <f>AU474+AV474</f>
        <v>3352</v>
      </c>
      <c r="AX474" s="122">
        <f>IF(AU474=0," ",(AW474-AU474)/AU474)</f>
        <v>0</v>
      </c>
      <c r="AZ474" s="117">
        <v>3352</v>
      </c>
      <c r="BA474" s="117">
        <v>3351.96</v>
      </c>
      <c r="BC474" s="259"/>
      <c r="BE474" s="26">
        <v>3352</v>
      </c>
      <c r="BF474" s="26">
        <v>3352</v>
      </c>
      <c r="BH474" s="26">
        <v>3352</v>
      </c>
      <c r="BI474" s="245"/>
      <c r="BJ474" s="16">
        <f>BH474+BI474</f>
        <v>3352</v>
      </c>
      <c r="BK474" s="122">
        <f>IF(BH474=0," ",(BJ474-BH474)/BH474)</f>
        <v>0</v>
      </c>
      <c r="BM474" s="117">
        <v>3352</v>
      </c>
      <c r="BN474" s="117">
        <v>3352</v>
      </c>
      <c r="BP474" s="259"/>
      <c r="BR474" s="117">
        <v>3352</v>
      </c>
      <c r="BS474" s="144">
        <v>1675.98</v>
      </c>
      <c r="BU474" s="26">
        <v>3352</v>
      </c>
      <c r="BV474" s="245"/>
      <c r="BW474" s="576">
        <f>BU474+BV474</f>
        <v>3352</v>
      </c>
      <c r="BX474" s="577">
        <f>IF(BU474=0," ",(BW474-BU474)/BU474)</f>
        <v>0</v>
      </c>
      <c r="BZ474" s="166">
        <v>3352</v>
      </c>
      <c r="CA474" s="166">
        <v>3352</v>
      </c>
      <c r="CC474" s="753"/>
      <c r="CE474" s="166">
        <v>3352</v>
      </c>
      <c r="CF474" s="166"/>
      <c r="CJ474" s="886"/>
      <c r="CO474" s="16"/>
    </row>
    <row r="475" spans="1:93" x14ac:dyDescent="0.3">
      <c r="A475" s="12"/>
      <c r="H475" s="32">
        <f>SUM(H474)</f>
        <v>3222</v>
      </c>
      <c r="I475" s="32">
        <f>SUM(I474)</f>
        <v>64.44</v>
      </c>
      <c r="J475" s="32">
        <f>SUM(J474)</f>
        <v>3286.44</v>
      </c>
      <c r="K475" s="128">
        <f>IF(H475=0," ",(J475-H475)/H475)</f>
        <v>2.0000000000000018E-2</v>
      </c>
      <c r="M475" s="32">
        <f>SUM(M474)</f>
        <v>3287</v>
      </c>
      <c r="N475" s="32">
        <f>SUM(N474)</f>
        <v>3287</v>
      </c>
      <c r="P475" s="141">
        <f>SUM(P474)</f>
        <v>0</v>
      </c>
      <c r="R475" s="145">
        <f>SUM(R474)</f>
        <v>3287</v>
      </c>
      <c r="S475" s="32">
        <f>SUM(S474)</f>
        <v>3287</v>
      </c>
      <c r="U475" s="32">
        <f>SUM(U474)</f>
        <v>3287</v>
      </c>
      <c r="V475" s="32">
        <f>SUM(V474)</f>
        <v>0</v>
      </c>
      <c r="W475" s="32">
        <f>SUM(W474)</f>
        <v>3287</v>
      </c>
      <c r="X475" s="128">
        <f>IF(U475=0," ",(W475-U475)/U475)</f>
        <v>0</v>
      </c>
      <c r="Z475" s="32">
        <f>SUM(Z474)</f>
        <v>3287</v>
      </c>
      <c r="AA475" s="32">
        <f>SUM(AA474)</f>
        <v>3287</v>
      </c>
      <c r="AC475" s="141"/>
      <c r="AE475" s="32">
        <f>SUM(AE474)</f>
        <v>3287</v>
      </c>
      <c r="AF475" s="202">
        <f>SUM(AF474)</f>
        <v>3287</v>
      </c>
      <c r="AH475" s="145">
        <v>3287</v>
      </c>
      <c r="AI475" s="32">
        <f>SUM(AI474)</f>
        <v>65</v>
      </c>
      <c r="AJ475" s="32">
        <f>SUM(AJ474)</f>
        <v>3352</v>
      </c>
      <c r="AK475" s="128">
        <f>IF(AH475=0," ",(AJ475-AH475)/AH475)</f>
        <v>1.9774870702768482E-2</v>
      </c>
      <c r="AM475" s="32">
        <f>SUM(AM474)</f>
        <v>3352</v>
      </c>
      <c r="AN475" s="32">
        <f>SUM(AN474)</f>
        <v>3352</v>
      </c>
      <c r="AP475" s="141"/>
      <c r="AR475" s="145">
        <f>SUM(AR474)</f>
        <v>3352</v>
      </c>
      <c r="AS475" s="145">
        <f>SUM(AS474)</f>
        <v>3351.96</v>
      </c>
      <c r="AU475" s="145">
        <f>SUM(AU474)</f>
        <v>3352</v>
      </c>
      <c r="AV475" s="32">
        <f>SUM(AV474)</f>
        <v>0</v>
      </c>
      <c r="AW475" s="32">
        <f>SUM(AW474)</f>
        <v>3352</v>
      </c>
      <c r="AX475" s="128">
        <f>IF(AU475=0," ",(AW475-AU475)/AU475)</f>
        <v>0</v>
      </c>
      <c r="AZ475" s="32">
        <f>SUM(AZ474)</f>
        <v>3352</v>
      </c>
      <c r="BA475" s="32">
        <f>SUM(BA474)</f>
        <v>3351.96</v>
      </c>
      <c r="BC475" s="141"/>
      <c r="BE475" s="145">
        <f>SUM(BE474)</f>
        <v>3352</v>
      </c>
      <c r="BF475" s="145">
        <f>SUM(BF474)</f>
        <v>3352</v>
      </c>
      <c r="BH475" s="145">
        <f>SUM(BH474)</f>
        <v>3352</v>
      </c>
      <c r="BI475" s="32">
        <f>SUM(BI474)</f>
        <v>0</v>
      </c>
      <c r="BJ475" s="32">
        <f>SUM(BJ474)</f>
        <v>3352</v>
      </c>
      <c r="BK475" s="128">
        <f>IF(BH475=0," ",(BJ475-BH475)/BH475)</f>
        <v>0</v>
      </c>
      <c r="BM475" s="145">
        <f>SUM(BM474)</f>
        <v>3352</v>
      </c>
      <c r="BN475" s="145">
        <f>SUM(BN474)</f>
        <v>3352</v>
      </c>
      <c r="BP475" s="141"/>
      <c r="BR475" s="145">
        <f>SUM(BR474)</f>
        <v>3352</v>
      </c>
      <c r="BS475" s="145">
        <f>SUM(BS474)</f>
        <v>1675.98</v>
      </c>
      <c r="BU475" s="145">
        <f>SUM(BU474)</f>
        <v>3352</v>
      </c>
      <c r="BV475" s="32">
        <f>SUM(BV474)</f>
        <v>0</v>
      </c>
      <c r="BW475" s="595">
        <f>SUM(BW474)</f>
        <v>3352</v>
      </c>
      <c r="BX475" s="596">
        <f>IF(BU475=0," ",(BW475-BU475)/BU475)</f>
        <v>0</v>
      </c>
      <c r="BZ475" s="597">
        <f>SUM(BZ474)</f>
        <v>3352</v>
      </c>
      <c r="CA475" s="597">
        <f>SUM(CA474)</f>
        <v>3352</v>
      </c>
      <c r="CC475" s="770"/>
      <c r="CE475" s="597">
        <f>SUM(CE474)</f>
        <v>3352</v>
      </c>
      <c r="CF475" s="597">
        <f>SUM(CF474)</f>
        <v>0</v>
      </c>
      <c r="CJ475" s="886"/>
      <c r="CO475" s="16"/>
    </row>
    <row r="476" spans="1:93" x14ac:dyDescent="0.3">
      <c r="R476" s="26"/>
      <c r="AH476" s="26"/>
      <c r="AR476" s="26"/>
      <c r="AS476" s="26"/>
      <c r="AU476" s="26"/>
      <c r="BE476" s="26"/>
      <c r="BF476" s="26"/>
      <c r="BH476" s="26"/>
      <c r="BM476" s="26"/>
      <c r="BN476" s="26"/>
      <c r="BR476" s="26"/>
      <c r="BU476" s="26"/>
      <c r="BZ476" s="589"/>
      <c r="CA476" s="589"/>
      <c r="CE476" s="589"/>
      <c r="CF476" s="589"/>
      <c r="CJ476" s="886"/>
      <c r="CO476" s="16"/>
    </row>
    <row r="477" spans="1:93" s="7" customFormat="1" x14ac:dyDescent="0.3">
      <c r="A477" s="23">
        <v>295</v>
      </c>
      <c r="B477" s="7" t="s">
        <v>2</v>
      </c>
      <c r="C477" s="40">
        <v>29502</v>
      </c>
      <c r="D477" s="40">
        <v>51310</v>
      </c>
      <c r="E477" s="53" t="s">
        <v>11</v>
      </c>
      <c r="F477" s="7" t="s">
        <v>2</v>
      </c>
      <c r="G477" s="7" t="s">
        <v>1151</v>
      </c>
      <c r="H477" s="146">
        <v>3530</v>
      </c>
      <c r="I477" s="246"/>
      <c r="J477" s="31">
        <f>H477+I477</f>
        <v>3530</v>
      </c>
      <c r="K477" s="148">
        <f>IF(H477=0," ",(J477-H477)/H477)</f>
        <v>0</v>
      </c>
      <c r="M477" s="147">
        <v>3530</v>
      </c>
      <c r="N477" s="147">
        <v>3530</v>
      </c>
      <c r="P477" s="149"/>
      <c r="R477" s="146">
        <v>3530</v>
      </c>
      <c r="S477" s="146">
        <v>3132.62</v>
      </c>
      <c r="U477" s="146">
        <v>3530</v>
      </c>
      <c r="V477" s="246">
        <v>0</v>
      </c>
      <c r="W477" s="31">
        <f>U477+V477</f>
        <v>3530</v>
      </c>
      <c r="X477" s="148">
        <f>IF(U477=0," ",(W477-U477)/U477)</f>
        <v>0</v>
      </c>
      <c r="Z477" s="147">
        <v>3530</v>
      </c>
      <c r="AA477" s="147">
        <v>3530</v>
      </c>
      <c r="AC477" s="149"/>
      <c r="AE477" s="146">
        <v>3530</v>
      </c>
      <c r="AF477" s="272">
        <v>2055.33</v>
      </c>
      <c r="AH477" s="146">
        <v>3530</v>
      </c>
      <c r="AI477" s="246"/>
      <c r="AJ477" s="31">
        <f>AH477+AI477</f>
        <v>3530</v>
      </c>
      <c r="AK477" s="148">
        <f>IF(AH477=0," ",(AJ477-AH477)/AH477)</f>
        <v>0</v>
      </c>
      <c r="AM477" s="147">
        <v>3530</v>
      </c>
      <c r="AN477" s="147">
        <v>3530</v>
      </c>
      <c r="AP477" s="149"/>
      <c r="AR477" s="146">
        <v>3530</v>
      </c>
      <c r="AS477" s="146">
        <v>1885.66</v>
      </c>
      <c r="AU477" s="26">
        <f>AR477</f>
        <v>3530</v>
      </c>
      <c r="AV477" s="246"/>
      <c r="AW477" s="31">
        <f>AU477+AV477</f>
        <v>3530</v>
      </c>
      <c r="AX477" s="148">
        <f>IF(AU477=0," ",(AW477-AU477)/AU477)</f>
        <v>0</v>
      </c>
      <c r="AZ477" s="147">
        <v>3530</v>
      </c>
      <c r="BA477" s="147">
        <v>1885.66</v>
      </c>
      <c r="BC477" s="149"/>
      <c r="BE477" s="146">
        <v>3530</v>
      </c>
      <c r="BF477" s="146">
        <v>3595.73</v>
      </c>
      <c r="BG477" s="6"/>
      <c r="BH477" s="146">
        <v>3530</v>
      </c>
      <c r="BI477" s="246"/>
      <c r="BJ477" s="31">
        <f>BH477+BI477</f>
        <v>3530</v>
      </c>
      <c r="BK477" s="148">
        <f>IF(BH477=0," ",(BJ477-BH477)/BH477)</f>
        <v>0</v>
      </c>
      <c r="BM477" s="147">
        <v>3530</v>
      </c>
      <c r="BN477" s="147">
        <v>3530</v>
      </c>
      <c r="BP477" s="149"/>
      <c r="BR477" s="147">
        <v>3530</v>
      </c>
      <c r="BS477" s="146">
        <v>2411.9699999999998</v>
      </c>
      <c r="BT477" s="6"/>
      <c r="BU477" s="146">
        <v>3530</v>
      </c>
      <c r="BV477" s="246"/>
      <c r="BW477" s="583">
        <f>BU477+BV477</f>
        <v>3530</v>
      </c>
      <c r="BX477" s="584">
        <f>IF(BU477=0," ",(BW477-BU477)/BU477)</f>
        <v>0</v>
      </c>
      <c r="BY477" s="590"/>
      <c r="BZ477" s="585">
        <v>3530</v>
      </c>
      <c r="CA477" s="585">
        <v>3530</v>
      </c>
      <c r="CB477" s="590"/>
      <c r="CC477" s="766"/>
      <c r="CD477" s="590"/>
      <c r="CE477" s="585">
        <v>3530</v>
      </c>
      <c r="CF477" s="585"/>
      <c r="CG477" s="6"/>
      <c r="CH477" s="814"/>
      <c r="CI477" s="814"/>
      <c r="CJ477" s="886"/>
      <c r="CO477" s="16"/>
    </row>
    <row r="478" spans="1:93" x14ac:dyDescent="0.3">
      <c r="A478" s="11">
        <v>295</v>
      </c>
      <c r="B478" s="3" t="s">
        <v>2</v>
      </c>
      <c r="C478" s="40">
        <v>29502</v>
      </c>
      <c r="D478" s="37">
        <v>51970</v>
      </c>
      <c r="E478" s="53" t="s">
        <v>11</v>
      </c>
      <c r="F478" s="3" t="s">
        <v>2</v>
      </c>
      <c r="G478" s="3" t="s">
        <v>225</v>
      </c>
      <c r="H478" s="26">
        <v>0</v>
      </c>
      <c r="I478" s="244"/>
      <c r="J478" s="16">
        <f>H478+I478</f>
        <v>0</v>
      </c>
      <c r="K478" s="122" t="str">
        <f>IF(H478=0," ",(J478-H478)/H478)</f>
        <v xml:space="preserve"> </v>
      </c>
      <c r="M478" s="117"/>
      <c r="N478" s="117">
        <v>0</v>
      </c>
      <c r="P478" s="259"/>
      <c r="R478" s="26"/>
      <c r="S478" s="26">
        <v>120</v>
      </c>
      <c r="U478" s="26"/>
      <c r="V478" s="244">
        <v>0</v>
      </c>
      <c r="W478" s="16">
        <f>U478+V478</f>
        <v>0</v>
      </c>
      <c r="X478" s="122" t="str">
        <f>IF(U478=0," ",(W478-U478)/U478)</f>
        <v xml:space="preserve"> </v>
      </c>
      <c r="Z478" s="117">
        <v>0</v>
      </c>
      <c r="AA478" s="117">
        <v>0</v>
      </c>
      <c r="AC478" s="259"/>
      <c r="AE478" s="26">
        <v>0</v>
      </c>
      <c r="AF478" s="200">
        <v>40</v>
      </c>
      <c r="AH478" s="26">
        <v>0</v>
      </c>
      <c r="AI478" s="244"/>
      <c r="AJ478" s="16">
        <f>AH478+AI478</f>
        <v>0</v>
      </c>
      <c r="AK478" s="122" t="str">
        <f>IF(AH478=0," ",(AJ478-AH478)/AH478)</f>
        <v xml:space="preserve"> </v>
      </c>
      <c r="AM478" s="117">
        <v>0</v>
      </c>
      <c r="AN478" s="117">
        <v>0</v>
      </c>
      <c r="AP478" s="259"/>
      <c r="AR478" s="26">
        <v>0</v>
      </c>
      <c r="AS478" s="26">
        <v>20</v>
      </c>
      <c r="AU478" s="26">
        <f>AR478</f>
        <v>0</v>
      </c>
      <c r="AV478" s="244"/>
      <c r="AW478" s="16">
        <f>AU478+AV478</f>
        <v>0</v>
      </c>
      <c r="AX478" s="122" t="str">
        <f>IF(AU478=0," ",(AW478-AU478)/AU478)</f>
        <v xml:space="preserve"> </v>
      </c>
      <c r="AZ478" s="117"/>
      <c r="BA478" s="117">
        <v>20</v>
      </c>
      <c r="BC478" s="259"/>
      <c r="BE478" s="26"/>
      <c r="BF478" s="26">
        <v>90</v>
      </c>
      <c r="BH478" s="26"/>
      <c r="BI478" s="244"/>
      <c r="BJ478" s="16">
        <f>BH478+BI478</f>
        <v>0</v>
      </c>
      <c r="BK478" s="122" t="str">
        <f>IF(BH478=0," ",(BJ478-BH478)/BH478)</f>
        <v xml:space="preserve"> </v>
      </c>
      <c r="BM478" s="117"/>
      <c r="BN478" s="117"/>
      <c r="BP478" s="259"/>
      <c r="BR478" s="117"/>
      <c r="BS478" s="26">
        <v>20</v>
      </c>
      <c r="BU478" s="26"/>
      <c r="BV478" s="244"/>
      <c r="BW478" s="576">
        <f>BU478+BV478</f>
        <v>0</v>
      </c>
      <c r="BX478" s="577" t="str">
        <f>IF(BU478=0," ",(BW478-BU478)/BU478)</f>
        <v xml:space="preserve"> </v>
      </c>
      <c r="BZ478" s="166">
        <v>0</v>
      </c>
      <c r="CA478" s="166">
        <v>0</v>
      </c>
      <c r="CC478" s="753"/>
      <c r="CE478" s="166">
        <v>0</v>
      </c>
      <c r="CF478" s="166"/>
      <c r="CJ478" s="886"/>
      <c r="CO478" s="16"/>
    </row>
    <row r="479" spans="1:93" x14ac:dyDescent="0.3">
      <c r="A479" s="12"/>
      <c r="H479" s="32">
        <f>SUM(H477:H478)</f>
        <v>3530</v>
      </c>
      <c r="I479" s="32">
        <f>SUM(I477:I478)</f>
        <v>0</v>
      </c>
      <c r="J479" s="32">
        <f>SUM(J477:J478)</f>
        <v>3530</v>
      </c>
      <c r="K479" s="128">
        <f>IF(H479=0," ",(J479-H479)/H479)</f>
        <v>0</v>
      </c>
      <c r="M479" s="32">
        <f>SUM(M477:M478)</f>
        <v>3530</v>
      </c>
      <c r="N479" s="32">
        <f>SUM(N477:N478)</f>
        <v>3530</v>
      </c>
      <c r="P479" s="141">
        <f>SUM(P477)</f>
        <v>0</v>
      </c>
      <c r="R479" s="32">
        <f>SUM(R477:R478)</f>
        <v>3530</v>
      </c>
      <c r="S479" s="32">
        <f>SUM(S477:S478)</f>
        <v>3252.62</v>
      </c>
      <c r="U479" s="32">
        <f>SUM(U477:U478)</f>
        <v>3530</v>
      </c>
      <c r="V479" s="32">
        <f>SUM(V477:V478)</f>
        <v>0</v>
      </c>
      <c r="W479" s="32">
        <f>SUM(W477:W478)</f>
        <v>3530</v>
      </c>
      <c r="X479" s="128">
        <f>IF(U479=0," ",(W479-U479)/U479)</f>
        <v>0</v>
      </c>
      <c r="Z479" s="32">
        <f>SUM(Z477:Z478)</f>
        <v>3530</v>
      </c>
      <c r="AA479" s="32">
        <f>SUM(AA477:AA478)</f>
        <v>3530</v>
      </c>
      <c r="AC479" s="141"/>
      <c r="AE479" s="32">
        <f>SUM(AE477:AE478)</f>
        <v>3530</v>
      </c>
      <c r="AF479" s="32">
        <f>SUM(AF477:AF478)</f>
        <v>2095.33</v>
      </c>
      <c r="AH479" s="32">
        <f>SUM(AH477:AH478)</f>
        <v>3530</v>
      </c>
      <c r="AI479" s="32">
        <f>SUM(AI477:AI478)</f>
        <v>0</v>
      </c>
      <c r="AJ479" s="32">
        <f>SUM(AJ477:AJ478)</f>
        <v>3530</v>
      </c>
      <c r="AK479" s="128">
        <f>IF(AH479=0," ",(AJ479-AH479)/AH479)</f>
        <v>0</v>
      </c>
      <c r="AM479" s="32">
        <f>SUM(AM477:AM478)</f>
        <v>3530</v>
      </c>
      <c r="AN479" s="32">
        <f>SUM(AN477:AN478)</f>
        <v>3530</v>
      </c>
      <c r="AP479" s="141"/>
      <c r="AR479" s="32">
        <f>SUM(AR477:AR478)</f>
        <v>3530</v>
      </c>
      <c r="AS479" s="32">
        <f>SUM(AS477:AS478)</f>
        <v>1905.66</v>
      </c>
      <c r="AU479" s="32">
        <f>SUM(AU477:AU478)</f>
        <v>3530</v>
      </c>
      <c r="AV479" s="32">
        <f>SUM(AV477:AV478)</f>
        <v>0</v>
      </c>
      <c r="AW479" s="32">
        <f>SUM(AW477:AW478)</f>
        <v>3530</v>
      </c>
      <c r="AX479" s="128">
        <f>IF(AU479=0," ",(AW479-AU479)/AU479)</f>
        <v>0</v>
      </c>
      <c r="AZ479" s="32">
        <f>SUM(AZ477:AZ478)</f>
        <v>3530</v>
      </c>
      <c r="BA479" s="32">
        <f>SUM(BA477:BA478)</f>
        <v>1905.66</v>
      </c>
      <c r="BC479" s="141"/>
      <c r="BE479" s="32">
        <f>SUM(BE477:BE478)</f>
        <v>3530</v>
      </c>
      <c r="BF479" s="32">
        <f>SUM(BF477:BF478)</f>
        <v>3685.73</v>
      </c>
      <c r="BH479" s="32">
        <f>SUM(BH477:BH478)</f>
        <v>3530</v>
      </c>
      <c r="BI479" s="32">
        <f>SUM(BI477:BI478)</f>
        <v>0</v>
      </c>
      <c r="BJ479" s="32">
        <f>SUM(BJ477:BJ478)</f>
        <v>3530</v>
      </c>
      <c r="BK479" s="128">
        <f>IF(BH479=0," ",(BJ479-BH479)/BH479)</f>
        <v>0</v>
      </c>
      <c r="BM479" s="32">
        <f>SUM(BM477:BM478)</f>
        <v>3530</v>
      </c>
      <c r="BN479" s="32">
        <f>SUM(BN477:BN478)</f>
        <v>3530</v>
      </c>
      <c r="BP479" s="141"/>
      <c r="BR479" s="32">
        <f>SUM(BR477:BR478)</f>
        <v>3530</v>
      </c>
      <c r="BS479" s="32">
        <f>SUM(BS477:BS478)</f>
        <v>2431.9699999999998</v>
      </c>
      <c r="BU479" s="32">
        <f>SUM(BU477:BU478)</f>
        <v>3530</v>
      </c>
      <c r="BV479" s="32">
        <f>SUM(BV477:BV478)</f>
        <v>0</v>
      </c>
      <c r="BW479" s="32">
        <f>SUM(BW477:BW478)</f>
        <v>3530</v>
      </c>
      <c r="BX479" s="596">
        <f>IF(BU479=0," ",(BW479-BU479)/BU479)</f>
        <v>0</v>
      </c>
      <c r="BZ479" s="32">
        <f>SUM(BZ477:BZ478)</f>
        <v>3530</v>
      </c>
      <c r="CA479" s="32">
        <f>SUM(CA477:CA478)</f>
        <v>3530</v>
      </c>
      <c r="CC479" s="770"/>
      <c r="CE479" s="32">
        <f>SUM(CE477:CE478)</f>
        <v>3530</v>
      </c>
      <c r="CF479" s="32">
        <f>SUM(CF477:CF478)</f>
        <v>0</v>
      </c>
      <c r="CJ479" s="886"/>
      <c r="CO479" s="16"/>
    </row>
    <row r="480" spans="1:93" x14ac:dyDescent="0.3">
      <c r="AS480" s="16"/>
      <c r="CJ480" s="886"/>
      <c r="CO480" s="16"/>
    </row>
    <row r="481" spans="1:93" s="19" customFormat="1" x14ac:dyDescent="0.3">
      <c r="A481" s="27"/>
      <c r="B481" s="8"/>
      <c r="C481" s="42"/>
      <c r="D481" s="42"/>
      <c r="E481" s="54"/>
      <c r="F481" s="8"/>
      <c r="G481" s="57" t="s">
        <v>259</v>
      </c>
      <c r="H481" s="28">
        <f>H475+H479</f>
        <v>6752</v>
      </c>
      <c r="I481" s="28">
        <f>I475+I479</f>
        <v>64.44</v>
      </c>
      <c r="J481" s="28">
        <f>J475+J479</f>
        <v>6816.4400000000005</v>
      </c>
      <c r="K481" s="123">
        <f>IF(H481=0," ",(J481-H481)/H481)</f>
        <v>9.5438388625593163E-3</v>
      </c>
      <c r="M481" s="28">
        <f>M475+M479</f>
        <v>6817</v>
      </c>
      <c r="N481" s="28">
        <f>N475+N479</f>
        <v>6817</v>
      </c>
      <c r="P481" s="139">
        <f>P475+P479</f>
        <v>0</v>
      </c>
      <c r="R481" s="28">
        <f>R475+R479</f>
        <v>6817</v>
      </c>
      <c r="S481" s="28">
        <f>S475+S479</f>
        <v>6539.62</v>
      </c>
      <c r="U481" s="28">
        <f>U475+U479</f>
        <v>6817</v>
      </c>
      <c r="V481" s="28">
        <f>V475+V479</f>
        <v>0</v>
      </c>
      <c r="W481" s="28">
        <f>W475+W479</f>
        <v>6817</v>
      </c>
      <c r="X481" s="123">
        <f>IF(U481=0," ",(W481-U481)/U481)</f>
        <v>0</v>
      </c>
      <c r="Z481" s="28">
        <f>Z475+Z479</f>
        <v>6817</v>
      </c>
      <c r="AA481" s="28">
        <f>AA475+AA479</f>
        <v>6817</v>
      </c>
      <c r="AC481" s="139"/>
      <c r="AE481" s="28">
        <f>AE475+AE479</f>
        <v>6817</v>
      </c>
      <c r="AF481" s="201">
        <f>AF475+AF479</f>
        <v>5382.33</v>
      </c>
      <c r="AH481" s="28">
        <v>6817</v>
      </c>
      <c r="AI481" s="28">
        <f>AI475+AI479</f>
        <v>65</v>
      </c>
      <c r="AJ481" s="28">
        <f>AJ475+AJ479</f>
        <v>6882</v>
      </c>
      <c r="AK481" s="123">
        <f>IF(AH481=0," ",(AJ481-AH481)/AH481)</f>
        <v>9.5349860642511362E-3</v>
      </c>
      <c r="AM481" s="28">
        <f>AM475+AM479</f>
        <v>6882</v>
      </c>
      <c r="AN481" s="28">
        <f>AN475+AN479</f>
        <v>6882</v>
      </c>
      <c r="AP481" s="139"/>
      <c r="AR481" s="28">
        <f>AR475+AR479</f>
        <v>6882</v>
      </c>
      <c r="AS481" s="28">
        <f>AS475+AS479</f>
        <v>5257.62</v>
      </c>
      <c r="AU481" s="28">
        <f>AU475+AU479</f>
        <v>6882</v>
      </c>
      <c r="AV481" s="28">
        <f>AV475+AV479</f>
        <v>0</v>
      </c>
      <c r="AW481" s="28">
        <f>AW475+AW479</f>
        <v>6882</v>
      </c>
      <c r="AX481" s="123">
        <f>IF(AU481=0," ",(AW481-AU481)/AU481)</f>
        <v>0</v>
      </c>
      <c r="AZ481" s="28">
        <f>AZ475+AZ479</f>
        <v>6882</v>
      </c>
      <c r="BA481" s="28">
        <f>BA475+BA479</f>
        <v>5257.62</v>
      </c>
      <c r="BC481" s="139"/>
      <c r="BE481" s="28">
        <f>BE475+BE479</f>
        <v>6882</v>
      </c>
      <c r="BF481" s="28">
        <f>BF475+BF479</f>
        <v>7037.73</v>
      </c>
      <c r="BG481" s="9"/>
      <c r="BH481" s="28">
        <f>BH475+BH479</f>
        <v>6882</v>
      </c>
      <c r="BI481" s="28">
        <f>BI475+BI479</f>
        <v>0</v>
      </c>
      <c r="BJ481" s="28">
        <f>BJ475+BJ479</f>
        <v>6882</v>
      </c>
      <c r="BK481" s="123">
        <f>IF(BH481=0," ",(BJ481-BH481)/BH481)</f>
        <v>0</v>
      </c>
      <c r="BM481" s="28">
        <f>BM475+BM479</f>
        <v>6882</v>
      </c>
      <c r="BN481" s="28">
        <f>BN475+BN479</f>
        <v>6882</v>
      </c>
      <c r="BP481" s="139"/>
      <c r="BR481" s="28">
        <f>BR475+BR479</f>
        <v>6882</v>
      </c>
      <c r="BS481" s="28">
        <f>BS475+BS479</f>
        <v>4107.95</v>
      </c>
      <c r="BT481" s="9"/>
      <c r="BU481" s="28">
        <f>BU475+BU479</f>
        <v>6882</v>
      </c>
      <c r="BV481" s="532">
        <f>BV475+BV479</f>
        <v>0</v>
      </c>
      <c r="BW481" s="591">
        <f>BW475+BW479</f>
        <v>6882</v>
      </c>
      <c r="BX481" s="579">
        <f>IF(BU481=0," ",(BW481-BU481)/BU481)</f>
        <v>0</v>
      </c>
      <c r="BY481" s="580"/>
      <c r="BZ481" s="591">
        <f>BZ475+BZ479</f>
        <v>6882</v>
      </c>
      <c r="CA481" s="591">
        <f>CA475+CA479</f>
        <v>6882</v>
      </c>
      <c r="CB481" s="580"/>
      <c r="CC481" s="769"/>
      <c r="CD481" s="580"/>
      <c r="CE481" s="591">
        <f>CE475+CE479</f>
        <v>6882</v>
      </c>
      <c r="CF481" s="591">
        <f>CF475+CF479</f>
        <v>0</v>
      </c>
      <c r="CG481" s="9"/>
      <c r="CH481" s="815"/>
      <c r="CI481" s="815"/>
      <c r="CJ481" s="886"/>
      <c r="CO481" s="16"/>
    </row>
    <row r="482" spans="1:93" x14ac:dyDescent="0.3">
      <c r="H482" s="26"/>
      <c r="AS482" s="16"/>
      <c r="CJ482" s="886"/>
      <c r="CO482" s="16"/>
    </row>
    <row r="483" spans="1:93" x14ac:dyDescent="0.3">
      <c r="A483" s="11">
        <v>295</v>
      </c>
      <c r="B483" s="3" t="s">
        <v>2</v>
      </c>
      <c r="C483" s="37">
        <v>29505</v>
      </c>
      <c r="D483" s="37">
        <v>52960</v>
      </c>
      <c r="E483" s="49" t="s">
        <v>118</v>
      </c>
      <c r="F483" s="3" t="s">
        <v>2</v>
      </c>
      <c r="G483" s="3" t="s">
        <v>226</v>
      </c>
      <c r="H483" s="26">
        <v>6900</v>
      </c>
      <c r="I483" s="244">
        <v>175</v>
      </c>
      <c r="J483" s="16">
        <f>H483+I483</f>
        <v>7075</v>
      </c>
      <c r="K483" s="122">
        <f>IF(H483=0," ",(J483-H483)/H483)</f>
        <v>2.5362318840579712E-2</v>
      </c>
      <c r="M483" s="117">
        <v>7075</v>
      </c>
      <c r="N483" s="117">
        <v>7075</v>
      </c>
      <c r="P483" s="259"/>
      <c r="R483" s="26">
        <v>7075</v>
      </c>
      <c r="S483" s="26">
        <v>19500</v>
      </c>
      <c r="U483" s="26">
        <v>7075</v>
      </c>
      <c r="V483" s="244">
        <v>0</v>
      </c>
      <c r="W483" s="16">
        <f>U483+V483</f>
        <v>7075</v>
      </c>
      <c r="X483" s="122">
        <f>IF(U483=0," ",(W483-U483)/U483)</f>
        <v>0</v>
      </c>
      <c r="Z483" s="117">
        <v>7075</v>
      </c>
      <c r="AA483" s="117">
        <v>7075</v>
      </c>
      <c r="AC483" s="259"/>
      <c r="AE483" s="26">
        <v>7075</v>
      </c>
      <c r="AF483" s="200">
        <v>15625</v>
      </c>
      <c r="AH483" s="26">
        <v>7075</v>
      </c>
      <c r="AI483" s="244"/>
      <c r="AJ483" s="16">
        <f>AH483+AI483</f>
        <v>7075</v>
      </c>
      <c r="AK483" s="122">
        <f>IF(AH483=0," ",(AJ483-AH483)/AH483)</f>
        <v>0</v>
      </c>
      <c r="AM483" s="117">
        <v>7075</v>
      </c>
      <c r="AN483" s="117">
        <v>7075</v>
      </c>
      <c r="AP483" s="259"/>
      <c r="AR483" s="26">
        <v>7075</v>
      </c>
      <c r="AS483" s="26">
        <v>7400</v>
      </c>
      <c r="AU483" s="26">
        <f>AR483</f>
        <v>7075</v>
      </c>
      <c r="AV483" s="244"/>
      <c r="AW483" s="16">
        <f>AU483+AV483</f>
        <v>7075</v>
      </c>
      <c r="AX483" s="122">
        <f>IF(AU483=0," ",(AW483-AU483)/AU483)</f>
        <v>0</v>
      </c>
      <c r="AZ483" s="117">
        <v>7075</v>
      </c>
      <c r="BA483" s="117">
        <v>7400</v>
      </c>
      <c r="BC483" s="266" t="s">
        <v>995</v>
      </c>
      <c r="BE483" s="26">
        <v>7075</v>
      </c>
      <c r="BF483" s="26">
        <v>7832.67</v>
      </c>
      <c r="BH483" s="26">
        <v>7075</v>
      </c>
      <c r="BI483" s="244"/>
      <c r="BJ483" s="16">
        <f>BH483+BI483</f>
        <v>7075</v>
      </c>
      <c r="BK483" s="122">
        <f>IF(BH483=0," ",(BJ483-BH483)/BH483)</f>
        <v>0</v>
      </c>
      <c r="BM483" s="117">
        <v>7075</v>
      </c>
      <c r="BN483" s="117">
        <v>7075</v>
      </c>
      <c r="BP483" s="297" t="s">
        <v>1146</v>
      </c>
      <c r="BR483" s="117">
        <v>7075</v>
      </c>
      <c r="BS483" s="26"/>
      <c r="BU483" s="26">
        <v>7075</v>
      </c>
      <c r="BV483" s="244"/>
      <c r="BW483" s="576">
        <f>BU483+BV483</f>
        <v>7075</v>
      </c>
      <c r="BX483" s="577">
        <f>IF(BU483=0," ",(BW483-BU483)/BU483)</f>
        <v>0</v>
      </c>
      <c r="BZ483" s="166">
        <v>7075</v>
      </c>
      <c r="CA483" s="166">
        <v>7075</v>
      </c>
      <c r="CC483" s="430" t="s">
        <v>1602</v>
      </c>
      <c r="CE483" s="166">
        <v>7075</v>
      </c>
      <c r="CF483" s="166"/>
      <c r="CJ483" s="886"/>
      <c r="CO483" s="16"/>
    </row>
    <row r="484" spans="1:93" x14ac:dyDescent="0.3">
      <c r="A484" s="11">
        <v>295</v>
      </c>
      <c r="B484" s="3" t="s">
        <v>2</v>
      </c>
      <c r="C484" s="37">
        <v>29505</v>
      </c>
      <c r="D484" s="37">
        <v>53870</v>
      </c>
      <c r="E484" s="49" t="s">
        <v>118</v>
      </c>
      <c r="F484" s="3" t="s">
        <v>2</v>
      </c>
      <c r="G484" s="3" t="s">
        <v>227</v>
      </c>
      <c r="H484" s="26">
        <v>600</v>
      </c>
      <c r="I484" s="244"/>
      <c r="J484" s="16">
        <f>H484+I484</f>
        <v>600</v>
      </c>
      <c r="K484" s="122">
        <f>IF(H484=0," ",(J484-H484)/H484)</f>
        <v>0</v>
      </c>
      <c r="M484" s="117">
        <v>600</v>
      </c>
      <c r="N484" s="117">
        <v>600</v>
      </c>
      <c r="P484" s="259"/>
      <c r="R484" s="26">
        <v>600</v>
      </c>
      <c r="S484" s="26">
        <v>1700</v>
      </c>
      <c r="U484" s="26">
        <v>600</v>
      </c>
      <c r="V484" s="244">
        <v>0</v>
      </c>
      <c r="W484" s="16">
        <f>U484+V484</f>
        <v>600</v>
      </c>
      <c r="X484" s="122">
        <f>IF(U484=0," ",(W484-U484)/U484)</f>
        <v>0</v>
      </c>
      <c r="Z484" s="117">
        <v>600</v>
      </c>
      <c r="AA484" s="117">
        <v>600</v>
      </c>
      <c r="AC484" s="259"/>
      <c r="AE484" s="26">
        <v>600</v>
      </c>
      <c r="AF484" s="200">
        <v>2912</v>
      </c>
      <c r="AH484" s="26">
        <v>600</v>
      </c>
      <c r="AI484" s="244"/>
      <c r="AJ484" s="16">
        <f>AH484+AI484</f>
        <v>600</v>
      </c>
      <c r="AK484" s="122">
        <f>IF(AH484=0," ",(AJ484-AH484)/AH484)</f>
        <v>0</v>
      </c>
      <c r="AM484" s="117">
        <v>600</v>
      </c>
      <c r="AN484" s="117">
        <v>600</v>
      </c>
      <c r="AP484" s="259"/>
      <c r="AR484" s="26">
        <v>600</v>
      </c>
      <c r="AS484" s="26">
        <v>0</v>
      </c>
      <c r="AU484" s="26">
        <f>AR484</f>
        <v>600</v>
      </c>
      <c r="AV484" s="244"/>
      <c r="AW484" s="16">
        <f>AU484+AV484</f>
        <v>600</v>
      </c>
      <c r="AX484" s="122">
        <f>IF(AU484=0," ",(AW484-AU484)/AU484)</f>
        <v>0</v>
      </c>
      <c r="AZ484" s="117">
        <v>600</v>
      </c>
      <c r="BA484" s="117">
        <v>0</v>
      </c>
      <c r="BC484" s="259"/>
      <c r="BE484" s="26">
        <v>600</v>
      </c>
      <c r="BF484" s="26"/>
      <c r="BH484" s="26">
        <v>600</v>
      </c>
      <c r="BI484" s="244"/>
      <c r="BJ484" s="16">
        <f>BH484+BI484</f>
        <v>600</v>
      </c>
      <c r="BK484" s="122">
        <f>IF(BH484=0," ",(BJ484-BH484)/BH484)</f>
        <v>0</v>
      </c>
      <c r="BM484" s="117">
        <v>600</v>
      </c>
      <c r="BN484" s="117">
        <v>600</v>
      </c>
      <c r="BP484" s="259"/>
      <c r="BR484" s="117">
        <v>600</v>
      </c>
      <c r="BS484" s="26"/>
      <c r="BU484" s="26">
        <v>600</v>
      </c>
      <c r="BV484" s="244"/>
      <c r="BW484" s="576">
        <f>BU484+BV484</f>
        <v>600</v>
      </c>
      <c r="BX484" s="577">
        <f>IF(BU484=0," ",(BW484-BU484)/BU484)</f>
        <v>0</v>
      </c>
      <c r="BZ484" s="166">
        <v>600</v>
      </c>
      <c r="CA484" s="166">
        <v>600</v>
      </c>
      <c r="CC484" s="753"/>
      <c r="CE484" s="166">
        <v>600</v>
      </c>
      <c r="CF484" s="166"/>
      <c r="CJ484" s="886"/>
      <c r="CO484" s="16"/>
    </row>
    <row r="485" spans="1:93" x14ac:dyDescent="0.3">
      <c r="A485" s="11">
        <v>295</v>
      </c>
      <c r="B485" s="3" t="s">
        <v>2</v>
      </c>
      <c r="C485" s="37">
        <v>29505</v>
      </c>
      <c r="D485" s="37">
        <v>55800</v>
      </c>
      <c r="E485" s="49" t="s">
        <v>118</v>
      </c>
      <c r="F485" s="3" t="s">
        <v>2</v>
      </c>
      <c r="G485" s="3" t="s">
        <v>228</v>
      </c>
      <c r="H485" s="26">
        <v>1120</v>
      </c>
      <c r="I485" s="244"/>
      <c r="J485" s="16">
        <f>H485+I485</f>
        <v>1120</v>
      </c>
      <c r="K485" s="122">
        <f>IF(H485=0," ",(J485-H485)/H485)</f>
        <v>0</v>
      </c>
      <c r="M485" s="117">
        <v>1120</v>
      </c>
      <c r="N485" s="117">
        <v>1120</v>
      </c>
      <c r="P485" s="259"/>
      <c r="R485" s="26">
        <v>1120</v>
      </c>
      <c r="S485" s="26">
        <v>5855.65</v>
      </c>
      <c r="U485" s="26">
        <v>1120</v>
      </c>
      <c r="V485" s="244">
        <v>0</v>
      </c>
      <c r="W485" s="16">
        <f>U485+V485</f>
        <v>1120</v>
      </c>
      <c r="X485" s="122">
        <f>IF(U485=0," ",(W485-U485)/U485)</f>
        <v>0</v>
      </c>
      <c r="Z485" s="117">
        <v>1120</v>
      </c>
      <c r="AA485" s="117">
        <v>1120</v>
      </c>
      <c r="AC485" s="259"/>
      <c r="AE485" s="26">
        <v>1120</v>
      </c>
      <c r="AF485" s="200">
        <v>0</v>
      </c>
      <c r="AH485" s="26">
        <v>1120</v>
      </c>
      <c r="AI485" s="244"/>
      <c r="AJ485" s="16">
        <f>AH485+AI485</f>
        <v>1120</v>
      </c>
      <c r="AK485" s="122">
        <f>IF(AH485=0," ",(AJ485-AH485)/AH485)</f>
        <v>0</v>
      </c>
      <c r="AM485" s="117">
        <v>1120</v>
      </c>
      <c r="AN485" s="117">
        <v>1120</v>
      </c>
      <c r="AP485" s="259"/>
      <c r="AR485" s="26">
        <v>1120</v>
      </c>
      <c r="AS485" s="26">
        <v>693.47</v>
      </c>
      <c r="AU485" s="26">
        <f>AR485</f>
        <v>1120</v>
      </c>
      <c r="AV485" s="244"/>
      <c r="AW485" s="16">
        <f>AU485+AV485</f>
        <v>1120</v>
      </c>
      <c r="AX485" s="122">
        <f>IF(AU485=0," ",(AW485-AU485)/AU485)</f>
        <v>0</v>
      </c>
      <c r="AZ485" s="117">
        <v>1120</v>
      </c>
      <c r="BA485" s="117">
        <v>693.47</v>
      </c>
      <c r="BC485" s="266" t="s">
        <v>996</v>
      </c>
      <c r="BE485" s="26">
        <v>1120</v>
      </c>
      <c r="BF485" s="26">
        <v>462.33</v>
      </c>
      <c r="BH485" s="26">
        <v>1120</v>
      </c>
      <c r="BI485" s="244"/>
      <c r="BJ485" s="16">
        <f>BH485+BI485</f>
        <v>1120</v>
      </c>
      <c r="BK485" s="122">
        <f>IF(BH485=0," ",(BJ485-BH485)/BH485)</f>
        <v>0</v>
      </c>
      <c r="BM485" s="117">
        <v>1120</v>
      </c>
      <c r="BN485" s="117">
        <v>1120</v>
      </c>
      <c r="BP485" s="259"/>
      <c r="BR485" s="117">
        <v>1120</v>
      </c>
      <c r="BS485" s="26"/>
      <c r="BU485" s="26">
        <v>1120</v>
      </c>
      <c r="BV485" s="244"/>
      <c r="BW485" s="576">
        <f>BU485+BV485</f>
        <v>1120</v>
      </c>
      <c r="BX485" s="577">
        <f>IF(BU485=0," ",(BW485-BU485)/BU485)</f>
        <v>0</v>
      </c>
      <c r="BZ485" s="166">
        <v>1120</v>
      </c>
      <c r="CA485" s="166">
        <v>1120</v>
      </c>
      <c r="CC485" s="753"/>
      <c r="CE485" s="166">
        <v>1120</v>
      </c>
      <c r="CF485" s="166"/>
      <c r="CJ485" s="886"/>
      <c r="CO485" s="16"/>
    </row>
    <row r="486" spans="1:93" x14ac:dyDescent="0.3">
      <c r="A486" s="11">
        <v>295</v>
      </c>
      <c r="B486" s="3" t="s">
        <v>2</v>
      </c>
      <c r="C486" s="37">
        <v>29505</v>
      </c>
      <c r="D486" s="37">
        <v>57300</v>
      </c>
      <c r="E486" s="49" t="s">
        <v>118</v>
      </c>
      <c r="F486" s="3" t="s">
        <v>2</v>
      </c>
      <c r="G486" s="3" t="s">
        <v>930</v>
      </c>
      <c r="H486" s="26">
        <v>50</v>
      </c>
      <c r="I486" s="244"/>
      <c r="J486" s="16">
        <f>H486+I486</f>
        <v>50</v>
      </c>
      <c r="K486" s="122">
        <f>IF(H486=0," ",(J486-H486)/H486)</f>
        <v>0</v>
      </c>
      <c r="M486" s="117">
        <v>50</v>
      </c>
      <c r="N486" s="117">
        <v>50</v>
      </c>
      <c r="P486" s="259"/>
      <c r="R486" s="26">
        <v>50</v>
      </c>
      <c r="S486" s="26">
        <v>85</v>
      </c>
      <c r="U486" s="26">
        <v>50</v>
      </c>
      <c r="V486" s="244">
        <v>0</v>
      </c>
      <c r="W486" s="16">
        <f>U486+V486</f>
        <v>50</v>
      </c>
      <c r="X486" s="122">
        <f>IF(U486=0," ",(W486-U486)/U486)</f>
        <v>0</v>
      </c>
      <c r="Z486" s="117">
        <v>50</v>
      </c>
      <c r="AA486" s="117">
        <v>50</v>
      </c>
      <c r="AC486" s="259"/>
      <c r="AE486" s="26">
        <v>50</v>
      </c>
      <c r="AF486" s="200">
        <v>85</v>
      </c>
      <c r="AH486" s="26">
        <v>50</v>
      </c>
      <c r="AI486" s="244"/>
      <c r="AJ486" s="16">
        <f>AH486+AI486</f>
        <v>50</v>
      </c>
      <c r="AK486" s="122">
        <f>IF(AH486=0," ",(AJ486-AH486)/AH486)</f>
        <v>0</v>
      </c>
      <c r="AM486" s="117">
        <v>50</v>
      </c>
      <c r="AN486" s="117">
        <v>50</v>
      </c>
      <c r="AP486" s="259"/>
      <c r="AR486" s="26">
        <v>50</v>
      </c>
      <c r="AS486" s="26">
        <v>85</v>
      </c>
      <c r="AU486" s="26">
        <f>AR486</f>
        <v>50</v>
      </c>
      <c r="AV486" s="244"/>
      <c r="AW486" s="16">
        <f>AU486+AV486</f>
        <v>50</v>
      </c>
      <c r="AX486" s="122">
        <f>IF(AU486=0," ",(AW486-AU486)/AU486)</f>
        <v>0</v>
      </c>
      <c r="AZ486" s="117">
        <v>50</v>
      </c>
      <c r="BA486" s="117">
        <f>50+35</f>
        <v>85</v>
      </c>
      <c r="BC486" s="266" t="s">
        <v>997</v>
      </c>
      <c r="BE486" s="26">
        <f>50+35</f>
        <v>85</v>
      </c>
      <c r="BF486" s="26">
        <v>85</v>
      </c>
      <c r="BH486" s="26">
        <f>50+35</f>
        <v>85</v>
      </c>
      <c r="BI486" s="244"/>
      <c r="BJ486" s="16">
        <f>BH486+BI486</f>
        <v>85</v>
      </c>
      <c r="BK486" s="122">
        <f>IF(BH486=0," ",(BJ486-BH486)/BH486)</f>
        <v>0</v>
      </c>
      <c r="BM486" s="117">
        <v>85</v>
      </c>
      <c r="BN486" s="117">
        <v>85</v>
      </c>
      <c r="BP486" s="259"/>
      <c r="BR486" s="117">
        <v>85</v>
      </c>
      <c r="BS486" s="26"/>
      <c r="BU486" s="26">
        <f>50+35</f>
        <v>85</v>
      </c>
      <c r="BV486" s="244"/>
      <c r="BW486" s="576">
        <f>BU486+BV486</f>
        <v>85</v>
      </c>
      <c r="BX486" s="577">
        <f>IF(BU486=0," ",(BW486-BU486)/BU486)</f>
        <v>0</v>
      </c>
      <c r="BZ486" s="166">
        <v>85</v>
      </c>
      <c r="CA486" s="166">
        <v>85</v>
      </c>
      <c r="CC486" s="753"/>
      <c r="CE486" s="166">
        <v>85</v>
      </c>
      <c r="CF486" s="166"/>
      <c r="CJ486" s="886"/>
      <c r="CO486" s="16"/>
    </row>
    <row r="487" spans="1:93" s="19" customFormat="1" x14ac:dyDescent="0.3">
      <c r="A487" s="27"/>
      <c r="B487" s="8"/>
      <c r="C487" s="42"/>
      <c r="D487" s="42"/>
      <c r="E487" s="54"/>
      <c r="F487" s="8"/>
      <c r="G487" s="57" t="s">
        <v>260</v>
      </c>
      <c r="H487" s="28">
        <f>SUM(H483:H486)</f>
        <v>8670</v>
      </c>
      <c r="I487" s="28">
        <f>SUM(I483:I486)</f>
        <v>175</v>
      </c>
      <c r="J487" s="28">
        <f>SUM(J483:J486)</f>
        <v>8845</v>
      </c>
      <c r="K487" s="123">
        <f>IF(H487=0," ",(J487-H487)/H487)</f>
        <v>2.0184544405997693E-2</v>
      </c>
      <c r="M487" s="28">
        <f>SUM(M483:M486)</f>
        <v>8845</v>
      </c>
      <c r="N487" s="28">
        <f>SUM(N483:N486)</f>
        <v>8845</v>
      </c>
      <c r="P487" s="28">
        <f>SUM(P483:P486)</f>
        <v>0</v>
      </c>
      <c r="R487" s="28">
        <f>SUM(R483:R486)</f>
        <v>8845</v>
      </c>
      <c r="S487" s="28">
        <f>SUM(S483:S486)</f>
        <v>27140.65</v>
      </c>
      <c r="U487" s="28">
        <f>SUM(U483:U486)</f>
        <v>8845</v>
      </c>
      <c r="V487" s="28">
        <f>SUM(V483:V486)</f>
        <v>0</v>
      </c>
      <c r="W487" s="28">
        <f>SUM(W483:W486)</f>
        <v>8845</v>
      </c>
      <c r="X487" s="123">
        <f>IF(U487=0," ",(W487-U487)/U487)</f>
        <v>0</v>
      </c>
      <c r="Z487" s="28">
        <f>SUM(Z483:Z486)</f>
        <v>8845</v>
      </c>
      <c r="AA487" s="28">
        <f>SUM(AA483:AA486)</f>
        <v>8845</v>
      </c>
      <c r="AC487" s="139"/>
      <c r="AE487" s="28">
        <f>SUM(AE483:AE486)</f>
        <v>8845</v>
      </c>
      <c r="AF487" s="28">
        <f>SUM(AF483:AF486)</f>
        <v>18622</v>
      </c>
      <c r="AH487" s="28">
        <f>SUM(AH483:AH486)</f>
        <v>8845</v>
      </c>
      <c r="AI487" s="28">
        <f>SUM(AI483:AI486)</f>
        <v>0</v>
      </c>
      <c r="AJ487" s="28">
        <f>SUM(AJ483:AJ486)</f>
        <v>8845</v>
      </c>
      <c r="AK487" s="123">
        <f>IF(AH487=0," ",(AJ487-AH487)/AH487)</f>
        <v>0</v>
      </c>
      <c r="AM487" s="28">
        <f>SUM(AM483:AM486)</f>
        <v>8845</v>
      </c>
      <c r="AN487" s="28">
        <f>SUM(AN483:AN486)</f>
        <v>8845</v>
      </c>
      <c r="AP487" s="139"/>
      <c r="AR487" s="28">
        <f>SUM(AR483:AR486)</f>
        <v>8845</v>
      </c>
      <c r="AS487" s="28">
        <f>SUM(AS483:AS486)</f>
        <v>8178.47</v>
      </c>
      <c r="AU487" s="28">
        <f>SUM(AU483:AU486)</f>
        <v>8845</v>
      </c>
      <c r="AV487" s="28">
        <f>SUM(AV483:AV486)</f>
        <v>0</v>
      </c>
      <c r="AW487" s="28">
        <f>SUM(AW483:AW486)</f>
        <v>8845</v>
      </c>
      <c r="AX487" s="123">
        <f>IF(AU487=0," ",(AW487-AU487)/AU487)</f>
        <v>0</v>
      </c>
      <c r="AZ487" s="28">
        <f>SUM(AZ483:AZ486)</f>
        <v>8845</v>
      </c>
      <c r="BA487" s="28">
        <f>SUM(BA483:BA486)</f>
        <v>8178.47</v>
      </c>
      <c r="BC487" s="139"/>
      <c r="BE487" s="28">
        <f>SUM(BE483:BE486)</f>
        <v>8880</v>
      </c>
      <c r="BF487" s="28">
        <f>SUM(BF483:BF486)</f>
        <v>8380</v>
      </c>
      <c r="BG487" s="9"/>
      <c r="BH487" s="28">
        <f>SUM(BH483:BH486)</f>
        <v>8880</v>
      </c>
      <c r="BI487" s="28">
        <f>SUM(BI483:BI486)</f>
        <v>0</v>
      </c>
      <c r="BJ487" s="28">
        <f>SUM(BJ483:BJ486)</f>
        <v>8880</v>
      </c>
      <c r="BK487" s="123">
        <f>IF(BH487=0," ",(BJ487-BH487)/BH487)</f>
        <v>0</v>
      </c>
      <c r="BM487" s="28">
        <f>SUM(BM483:BM486)</f>
        <v>8880</v>
      </c>
      <c r="BN487" s="28">
        <f>SUM(BN483:BN486)</f>
        <v>8880</v>
      </c>
      <c r="BP487" s="139"/>
      <c r="BR487" s="28">
        <f>SUM(BR483:BR486)</f>
        <v>8880</v>
      </c>
      <c r="BS487" s="28">
        <f>SUM(BS483:BS486)</f>
        <v>0</v>
      </c>
      <c r="BT487" s="9"/>
      <c r="BU487" s="28">
        <f>SUM(BU483:BU486)</f>
        <v>8880</v>
      </c>
      <c r="BV487" s="532">
        <f>SUM(BV483:BV486)</f>
        <v>0</v>
      </c>
      <c r="BW487" s="591">
        <f>SUM(BW483:BW486)</f>
        <v>8880</v>
      </c>
      <c r="BX487" s="579">
        <f>IF(BU487=0," ",(BW487-BU487)/BU487)</f>
        <v>0</v>
      </c>
      <c r="BY487" s="580"/>
      <c r="BZ487" s="591">
        <f>SUM(BZ483:BZ486)</f>
        <v>8880</v>
      </c>
      <c r="CA487" s="591">
        <f>SUM(CA483:CA486)</f>
        <v>8880</v>
      </c>
      <c r="CB487" s="580"/>
      <c r="CC487" s="769"/>
      <c r="CD487" s="580"/>
      <c r="CE487" s="591">
        <f>SUM(CE483:CE486)</f>
        <v>8880</v>
      </c>
      <c r="CF487" s="591">
        <f>SUM(CF483:CF486)</f>
        <v>0</v>
      </c>
      <c r="CG487" s="9"/>
      <c r="CH487" s="815"/>
      <c r="CI487" s="815"/>
      <c r="CJ487" s="886"/>
      <c r="CO487" s="16"/>
    </row>
    <row r="488" spans="1:93" ht="9.9" customHeight="1" x14ac:dyDescent="0.3">
      <c r="AS488" s="16"/>
      <c r="CJ488" s="886"/>
      <c r="CO488" s="16"/>
    </row>
    <row r="489" spans="1:93" s="1" customFormat="1" x14ac:dyDescent="0.3">
      <c r="A489" s="20"/>
      <c r="B489" s="5"/>
      <c r="C489" s="39"/>
      <c r="D489" s="39"/>
      <c r="E489" s="51"/>
      <c r="F489" s="5"/>
      <c r="G489" s="21" t="s">
        <v>261</v>
      </c>
      <c r="H489" s="22">
        <f>H481+H487</f>
        <v>15422</v>
      </c>
      <c r="I489" s="22">
        <f>I481+I487</f>
        <v>239.44</v>
      </c>
      <c r="J489" s="22">
        <f>J481+J487</f>
        <v>15661.44</v>
      </c>
      <c r="K489" s="124">
        <f>IF(H489=0," ",(J489-H489)/H489)</f>
        <v>1.5525872130722377E-2</v>
      </c>
      <c r="M489" s="22">
        <f>M481+M487</f>
        <v>15662</v>
      </c>
      <c r="N489" s="22">
        <f>N481+N487</f>
        <v>15662</v>
      </c>
      <c r="P489" s="136">
        <f>P481+P487</f>
        <v>0</v>
      </c>
      <c r="R489" s="22">
        <f>R481+R487</f>
        <v>15662</v>
      </c>
      <c r="S489" s="22">
        <f>S481+S487</f>
        <v>33680.270000000004</v>
      </c>
      <c r="U489" s="22">
        <f>U481+U487</f>
        <v>15662</v>
      </c>
      <c r="V489" s="22">
        <f>V481+V487</f>
        <v>0</v>
      </c>
      <c r="W489" s="22">
        <f>W481+W487</f>
        <v>15662</v>
      </c>
      <c r="X489" s="124">
        <f>IF(U489=0," ",(W489-U489)/U489)</f>
        <v>0</v>
      </c>
      <c r="Z489" s="22">
        <f>Z481+Z487</f>
        <v>15662</v>
      </c>
      <c r="AA489" s="22">
        <f>AA481+AA487</f>
        <v>15662</v>
      </c>
      <c r="AC489" s="136"/>
      <c r="AE489" s="22">
        <f>AE481+AE487</f>
        <v>15662</v>
      </c>
      <c r="AF489" s="199">
        <f>AF481+AF487</f>
        <v>24004.33</v>
      </c>
      <c r="AH489" s="22">
        <v>15662</v>
      </c>
      <c r="AI489" s="22">
        <f>AI481+AI487</f>
        <v>65</v>
      </c>
      <c r="AJ489" s="22">
        <f>AJ481+AJ487</f>
        <v>15727</v>
      </c>
      <c r="AK489" s="124">
        <f>IF(AH489=0," ",(AJ489-AH489)/AH489)</f>
        <v>4.1501723917762735E-3</v>
      </c>
      <c r="AM489" s="22">
        <f>AM481+AM487</f>
        <v>15727</v>
      </c>
      <c r="AN489" s="22">
        <f>AN481+AN487</f>
        <v>15727</v>
      </c>
      <c r="AP489" s="136"/>
      <c r="AR489" s="22">
        <f>AR481+AR487</f>
        <v>15727</v>
      </c>
      <c r="AS489" s="22">
        <f>AS481+AS487</f>
        <v>13436.09</v>
      </c>
      <c r="AU489" s="22">
        <f>AU481+AU487</f>
        <v>15727</v>
      </c>
      <c r="AV489" s="22">
        <f>AV481+AV487</f>
        <v>0</v>
      </c>
      <c r="AW489" s="22">
        <f>AW481+AW487</f>
        <v>15727</v>
      </c>
      <c r="AX489" s="124">
        <f>IF(AU489=0," ",(AW489-AU489)/AU489)</f>
        <v>0</v>
      </c>
      <c r="AZ489" s="22">
        <f>AZ481+AZ487</f>
        <v>15727</v>
      </c>
      <c r="BA489" s="22">
        <f>BA481+BA487</f>
        <v>13436.09</v>
      </c>
      <c r="BC489" s="136"/>
      <c r="BE489" s="22">
        <f>BE481+BE487</f>
        <v>15762</v>
      </c>
      <c r="BF489" s="22">
        <f>BF481+BF487</f>
        <v>15417.73</v>
      </c>
      <c r="BH489" s="22">
        <f>BH481+BH487</f>
        <v>15762</v>
      </c>
      <c r="BI489" s="22">
        <f>BI481+BI487</f>
        <v>0</v>
      </c>
      <c r="BJ489" s="22">
        <f>BJ481+BJ487</f>
        <v>15762</v>
      </c>
      <c r="BK489" s="124">
        <f>IF(BH489=0," ",(BJ489-BH489)/BH489)</f>
        <v>0</v>
      </c>
      <c r="BM489" s="22">
        <f>BM481+BM487</f>
        <v>15762</v>
      </c>
      <c r="BN489" s="22">
        <f>BN481+BN487</f>
        <v>15762</v>
      </c>
      <c r="BP489" s="136"/>
      <c r="BR489" s="22">
        <f>BR481+BR487</f>
        <v>15762</v>
      </c>
      <c r="BS489" s="22">
        <f>BS481+BS487</f>
        <v>4107.95</v>
      </c>
      <c r="BU489" s="22">
        <f>BU481+BU487</f>
        <v>15762</v>
      </c>
      <c r="BV489" s="531">
        <f>BV481+BV487</f>
        <v>0</v>
      </c>
      <c r="BW489" s="581">
        <f>BW481+BW487</f>
        <v>15762</v>
      </c>
      <c r="BX489" s="582">
        <f>IF(BU489=0," ",(BW489-BU489)/BU489)</f>
        <v>0</v>
      </c>
      <c r="BY489" s="573"/>
      <c r="BZ489" s="581">
        <f>BZ481+BZ487</f>
        <v>15762</v>
      </c>
      <c r="CA489" s="581">
        <f>CA481+CA487</f>
        <v>15762</v>
      </c>
      <c r="CB489" s="573"/>
      <c r="CC489" s="764"/>
      <c r="CD489" s="573"/>
      <c r="CE489" s="581">
        <f>CE481+CE487</f>
        <v>15762</v>
      </c>
      <c r="CF489" s="581">
        <f>CF481+CF487</f>
        <v>0</v>
      </c>
      <c r="CH489" s="812"/>
      <c r="CI489" s="812"/>
      <c r="CJ489" s="886"/>
      <c r="CO489" s="16"/>
    </row>
    <row r="490" spans="1:93" ht="20.100000000000001" customHeight="1" x14ac:dyDescent="0.3">
      <c r="AS490" s="16"/>
      <c r="CO490" s="16"/>
    </row>
    <row r="491" spans="1:93" s="1" customFormat="1" ht="20.100000000000001" customHeight="1" x14ac:dyDescent="0.3">
      <c r="A491" s="58" t="s">
        <v>338</v>
      </c>
      <c r="B491" s="59"/>
      <c r="C491" s="60"/>
      <c r="D491" s="60"/>
      <c r="E491" s="61"/>
      <c r="F491" s="59"/>
      <c r="G491" s="59"/>
      <c r="H491" s="62">
        <f>H489+H471+H460+H451+H445+H416+H354</f>
        <v>2471661</v>
      </c>
      <c r="I491" s="62">
        <f>I489+I471+I460+I451+I445+I416+I354</f>
        <v>-3885.8999999999996</v>
      </c>
      <c r="J491" s="62">
        <f>J489+J471+J460+J451+J445+J416+J354</f>
        <v>2467775.1</v>
      </c>
      <c r="K491" s="120">
        <f>IF(H491=0," ",(J491-H491)/H491)</f>
        <v>-1.5721816219942406E-3</v>
      </c>
      <c r="M491" s="62">
        <f>M489+M471+M460+M451+M445+M416+M354</f>
        <v>2467778</v>
      </c>
      <c r="N491" s="62">
        <f>N489+N471+N460+N451+N445+N416+N354</f>
        <v>2489201</v>
      </c>
      <c r="P491" s="132">
        <f>P471+P460+P451+P445+P416+P354</f>
        <v>0</v>
      </c>
      <c r="R491" s="62">
        <f>R489+R471+R460+R451+R445+R416+R354</f>
        <v>2489201</v>
      </c>
      <c r="S491" s="62">
        <f>S489+S471+S460+S451+S445+S416+S354</f>
        <v>2405088.7400000002</v>
      </c>
      <c r="U491" s="62">
        <f>U489+U471+U460+U451+U445+U416+U354</f>
        <v>2489201</v>
      </c>
      <c r="V491" s="62">
        <f>V489+V471+V460+V451+V445+V416+V354</f>
        <v>43186</v>
      </c>
      <c r="W491" s="62">
        <f>W489+W471+W460+W451+W445+W416+W354</f>
        <v>2517387</v>
      </c>
      <c r="X491" s="120">
        <f>IF(U491=0," ",(W491-U491)/U491)</f>
        <v>1.132331217928966E-2</v>
      </c>
      <c r="Z491" s="62">
        <f>Z489+Z471+Z460+Z451+Z445+Z416+Z354</f>
        <v>2532387</v>
      </c>
      <c r="AA491" s="62">
        <f>AA489+AA471+AA460+AA451+AA445+AA416+AA354</f>
        <v>2613676</v>
      </c>
      <c r="AC491" s="132"/>
      <c r="AE491" s="62">
        <f>AE489+AE471+AE460+AE451+AE445+AE416+AE354</f>
        <v>2613676</v>
      </c>
      <c r="AF491" s="195">
        <f>AF489+AF471+AF460+AF451+AF445+AF416+AF354</f>
        <v>2568134.9900000002</v>
      </c>
      <c r="AH491" s="62">
        <f>AH489+AH471+AH460+AH451+AH445+AH416+AH354</f>
        <v>2613676</v>
      </c>
      <c r="AI491" s="62">
        <f>AI489+AI471+AI460+AI451+AI445+AI416+AI354</f>
        <v>37608</v>
      </c>
      <c r="AJ491" s="62">
        <f>AJ489+AJ471+AJ460+AJ451+AJ445+AJ416+AJ354</f>
        <v>2651282</v>
      </c>
      <c r="AK491" s="120">
        <f>IF(AH491=0," ",(AJ491-AH491)/AH491)</f>
        <v>1.4388164409054527E-2</v>
      </c>
      <c r="AM491" s="62">
        <f>AM489+AM471+AM460+AM451+AM445+AM416+AM354</f>
        <v>2696952</v>
      </c>
      <c r="AN491" s="62">
        <f>AN489+AN471+AN460+AN451+AN445+AN416+AN354</f>
        <v>2696952</v>
      </c>
      <c r="AP491" s="132"/>
      <c r="AR491" s="62">
        <f>AR489+AR471+AR460+AR451+AR445+AR416+AR354</f>
        <v>2696952</v>
      </c>
      <c r="AS491" s="62">
        <f>AS489+AS471+AS460+AS451+AS445+AS416+AS354</f>
        <v>2472805.5</v>
      </c>
      <c r="AU491" s="62">
        <f>AU489+AU471+AU460+AU451+AU445+AU416+AU354</f>
        <v>2696952</v>
      </c>
      <c r="AV491" s="62">
        <f>AV489+AV471+AV460+AV451+AV445+AV416+AV354</f>
        <v>133462</v>
      </c>
      <c r="AW491" s="62">
        <f>AW489+AW471+AW460+AW451+AW445+AW416+AW354</f>
        <v>2830414</v>
      </c>
      <c r="AX491" s="120">
        <f>IF(AU491=0," ",(AW491-AU491)/AU491)</f>
        <v>4.9486234831024059E-2</v>
      </c>
      <c r="AZ491" s="62">
        <f>AZ489+AZ471+AZ460+AZ451+AZ445+AZ416+AZ354</f>
        <v>2803522</v>
      </c>
      <c r="BA491" s="62">
        <f>BA489+BA471+BA460+BA451+BA445+BA416+BA354</f>
        <v>2866450.9699999997</v>
      </c>
      <c r="BC491" s="132"/>
      <c r="BE491" s="62">
        <f>BE489+BE471+BE460+BE451+BE445+BE416+BE354</f>
        <v>2871188</v>
      </c>
      <c r="BF491" s="62">
        <f>BF489+BF471+BF460+BF451+BF445+BF416+BF354</f>
        <v>2602172.87</v>
      </c>
      <c r="BH491" s="62">
        <f>BH489+BH471+BH460+BH451+BH445+BH416+BH354</f>
        <v>2871188</v>
      </c>
      <c r="BI491" s="62">
        <f>BI489+BI471+BI460+BI451+BI445+BI416+BI354</f>
        <v>9944</v>
      </c>
      <c r="BJ491" s="62">
        <f>BJ489+BJ471+BJ460+BJ451+BJ445+BJ416+BJ354</f>
        <v>2881132</v>
      </c>
      <c r="BK491" s="120">
        <f>IF(BH491=0," ",(BJ491-BH491)/BH491)</f>
        <v>3.4633747424411081E-3</v>
      </c>
      <c r="BM491" s="62">
        <f>BM489+BM471+BM460+BM451+BM445+BM416+BM354</f>
        <v>2879601</v>
      </c>
      <c r="BN491" s="62">
        <f>BN489+BN471+BN460+BN451+BN445+BN416+BN354</f>
        <v>2926406</v>
      </c>
      <c r="BP491" s="398"/>
      <c r="BR491" s="62">
        <f>BR489+BR471+BR460+BR451+BR445+BR416+BR354</f>
        <v>2926406</v>
      </c>
      <c r="BS491" s="62">
        <f>BS489+BS471+BS460+BS451+BS445+BS416+BS354</f>
        <v>1141279.7</v>
      </c>
      <c r="BU491" s="62">
        <f>BU489+BU471+BU460+BU451+BU445+BU416+BU354</f>
        <v>2926406</v>
      </c>
      <c r="BV491" s="62">
        <f>BV489+BV471+BV460+BV451+BV445+BV416+BV354</f>
        <v>18558</v>
      </c>
      <c r="BW491" s="62">
        <f>BW489+BW471+BW460+BW451+BW445+BW416+BW354</f>
        <v>2944964</v>
      </c>
      <c r="BX491" s="120">
        <f>IF(BU491=0," ",(BW491-BU491)/BU491)</f>
        <v>6.3415670962949089E-3</v>
      </c>
      <c r="BY491" s="573"/>
      <c r="BZ491" s="62">
        <f>BZ489+BZ471+BZ460+BZ451+BZ445+BZ416+BZ354</f>
        <v>2944964</v>
      </c>
      <c r="CA491" s="62">
        <f>CA489+CA471+CA460+CA451+CA445+CA416+CA354</f>
        <v>3082797</v>
      </c>
      <c r="CB491" s="573"/>
      <c r="CC491" s="760"/>
      <c r="CD491" s="573"/>
      <c r="CE491" s="62">
        <f>CE489+CE471+CE460+CE451+CE445+CE416+CE354</f>
        <v>3082797</v>
      </c>
      <c r="CF491" s="62">
        <f>CF489+CF471+CF460+CF451+CF445+CF416+CF354</f>
        <v>0</v>
      </c>
      <c r="CH491" s="812"/>
      <c r="CI491" s="915">
        <v>2944964</v>
      </c>
      <c r="CJ491" s="895">
        <v>44634</v>
      </c>
      <c r="CK491" s="896" t="s">
        <v>1622</v>
      </c>
      <c r="CL491" s="896" t="s">
        <v>1620</v>
      </c>
      <c r="CM491" s="1" t="s">
        <v>1651</v>
      </c>
      <c r="CO491" s="16"/>
    </row>
    <row r="492" spans="1:93" s="1" customFormat="1" ht="20.100000000000001" customHeight="1" x14ac:dyDescent="0.3">
      <c r="A492" s="33"/>
      <c r="B492" s="10"/>
      <c r="C492" s="44"/>
      <c r="D492" s="44"/>
      <c r="E492" s="55"/>
      <c r="F492" s="10"/>
      <c r="G492" s="10"/>
      <c r="H492" s="34"/>
      <c r="I492" s="34"/>
      <c r="J492" s="34"/>
      <c r="K492" s="129"/>
      <c r="M492" s="188"/>
      <c r="N492" s="188"/>
      <c r="P492" s="142"/>
      <c r="R492" s="188"/>
      <c r="S492" s="188"/>
      <c r="U492" s="188"/>
      <c r="V492" s="34"/>
      <c r="W492" s="34"/>
      <c r="X492" s="129"/>
      <c r="Z492" s="188"/>
      <c r="AA492" s="188"/>
      <c r="AC492" s="142"/>
      <c r="AE492" s="188"/>
      <c r="AF492" s="277"/>
      <c r="AH492" s="188"/>
      <c r="AI492" s="34"/>
      <c r="AJ492" s="34"/>
      <c r="AK492" s="129"/>
      <c r="AM492" s="188"/>
      <c r="AN492" s="188"/>
      <c r="AP492" s="142"/>
      <c r="AR492" s="188"/>
      <c r="AS492" s="188"/>
      <c r="AU492" s="188"/>
      <c r="AV492" s="34"/>
      <c r="AW492" s="34"/>
      <c r="AX492" s="129"/>
      <c r="AZ492" s="188"/>
      <c r="BA492" s="188"/>
      <c r="BC492" s="142"/>
      <c r="BE492" s="188"/>
      <c r="BF492" s="188"/>
      <c r="BH492" s="188"/>
      <c r="BI492" s="34"/>
      <c r="BJ492" s="34"/>
      <c r="BK492" s="129"/>
      <c r="BM492" s="188"/>
      <c r="BN492" s="188"/>
      <c r="BP492" s="140"/>
      <c r="BR492" s="188"/>
      <c r="BS492" s="188"/>
      <c r="BU492" s="188"/>
      <c r="BV492" s="534"/>
      <c r="BW492" s="305"/>
      <c r="BX492" s="593"/>
      <c r="BY492" s="573"/>
      <c r="BZ492" s="305"/>
      <c r="CA492" s="305"/>
      <c r="CB492" s="573"/>
      <c r="CC492" s="752"/>
      <c r="CD492" s="573"/>
      <c r="CE492" s="305"/>
      <c r="CF492" s="305"/>
      <c r="CH492" s="812"/>
      <c r="CI492" s="812"/>
      <c r="CJ492" s="886"/>
      <c r="CK492" s="886"/>
      <c r="CO492" s="16"/>
    </row>
    <row r="493" spans="1:93" s="1" customFormat="1" ht="20.100000000000001" customHeight="1" x14ac:dyDescent="0.3">
      <c r="A493" s="33"/>
      <c r="B493" s="10"/>
      <c r="C493" s="44"/>
      <c r="D493" s="44"/>
      <c r="E493" s="55"/>
      <c r="F493" s="10"/>
      <c r="G493" s="10"/>
      <c r="H493" s="34"/>
      <c r="I493" s="34"/>
      <c r="J493" s="34"/>
      <c r="K493" s="129"/>
      <c r="M493" s="34"/>
      <c r="N493" s="34"/>
      <c r="P493" s="142"/>
      <c r="R493" s="34"/>
      <c r="S493" s="34"/>
      <c r="U493" s="34"/>
      <c r="V493" s="34"/>
      <c r="W493" s="34"/>
      <c r="X493" s="129"/>
      <c r="Z493" s="34"/>
      <c r="AA493" s="34"/>
      <c r="AC493" s="142"/>
      <c r="AE493" s="34"/>
      <c r="AF493" s="203"/>
      <c r="AH493" s="34"/>
      <c r="AI493" s="34"/>
      <c r="AJ493" s="34"/>
      <c r="AK493" s="129"/>
      <c r="AM493" s="34"/>
      <c r="AN493" s="34"/>
      <c r="AP493" s="142"/>
      <c r="AR493" s="34"/>
      <c r="AS493" s="34"/>
      <c r="AU493" s="34"/>
      <c r="AV493" s="34"/>
      <c r="AW493" s="34"/>
      <c r="AX493" s="129"/>
      <c r="AZ493" s="34"/>
      <c r="BA493" s="34"/>
      <c r="BC493" s="142"/>
      <c r="BE493" s="34"/>
      <c r="BF493" s="34"/>
      <c r="BH493" s="34"/>
      <c r="BI493" s="34"/>
      <c r="BJ493" s="34"/>
      <c r="BK493" s="129"/>
      <c r="BM493" s="34"/>
      <c r="BN493" s="34"/>
      <c r="BP493" s="140"/>
      <c r="BR493" s="34"/>
      <c r="BS493" s="34"/>
      <c r="BU493" s="34"/>
      <c r="BV493" s="534"/>
      <c r="BW493" s="305"/>
      <c r="BX493" s="593"/>
      <c r="BY493" s="573"/>
      <c r="BZ493" s="305"/>
      <c r="CA493" s="305"/>
      <c r="CB493" s="573"/>
      <c r="CC493" s="752"/>
      <c r="CD493" s="573"/>
      <c r="CE493" s="305"/>
      <c r="CF493" s="305"/>
      <c r="CH493" s="812"/>
      <c r="CI493" s="812"/>
      <c r="CJ493" s="886"/>
      <c r="CO493" s="16"/>
    </row>
    <row r="494" spans="1:93" s="1" customFormat="1" ht="20.100000000000001" customHeight="1" x14ac:dyDescent="0.3">
      <c r="A494" s="63" t="s">
        <v>160</v>
      </c>
      <c r="B494" s="59"/>
      <c r="C494" s="60"/>
      <c r="D494" s="60"/>
      <c r="E494" s="61"/>
      <c r="F494" s="59"/>
      <c r="G494" s="59"/>
      <c r="H494" s="62"/>
      <c r="I494" s="62"/>
      <c r="J494" s="62"/>
      <c r="K494" s="120"/>
      <c r="M494" s="62"/>
      <c r="N494" s="62"/>
      <c r="P494" s="132"/>
      <c r="R494" s="62"/>
      <c r="S494" s="62"/>
      <c r="U494" s="62"/>
      <c r="V494" s="62"/>
      <c r="W494" s="62"/>
      <c r="X494" s="120"/>
      <c r="Z494" s="62"/>
      <c r="AA494" s="62"/>
      <c r="AC494" s="132"/>
      <c r="AE494" s="62"/>
      <c r="AF494" s="195"/>
      <c r="AH494" s="62"/>
      <c r="AI494" s="62"/>
      <c r="AJ494" s="62"/>
      <c r="AK494" s="120"/>
      <c r="AM494" s="62"/>
      <c r="AN494" s="62"/>
      <c r="AP494" s="132"/>
      <c r="AR494" s="62"/>
      <c r="AS494" s="62"/>
      <c r="AU494" s="62"/>
      <c r="AV494" s="62"/>
      <c r="AW494" s="62"/>
      <c r="AX494" s="120"/>
      <c r="AZ494" s="62"/>
      <c r="BA494" s="62"/>
      <c r="BC494" s="132"/>
      <c r="BE494" s="62"/>
      <c r="BF494" s="62"/>
      <c r="BH494" s="62"/>
      <c r="BI494" s="62"/>
      <c r="BJ494" s="62"/>
      <c r="BK494" s="120"/>
      <c r="BM494" s="62"/>
      <c r="BN494" s="62"/>
      <c r="BP494" s="398"/>
      <c r="BR494" s="62"/>
      <c r="BS494" s="62"/>
      <c r="BU494" s="62"/>
      <c r="BV494" s="528"/>
      <c r="BW494" s="571"/>
      <c r="BX494" s="572"/>
      <c r="BY494" s="573"/>
      <c r="BZ494" s="571"/>
      <c r="CA494" s="571"/>
      <c r="CB494" s="573"/>
      <c r="CC494" s="760"/>
      <c r="CD494" s="573"/>
      <c r="CE494" s="571"/>
      <c r="CF494" s="571"/>
      <c r="CH494" s="812"/>
      <c r="CI494" s="812"/>
      <c r="CJ494" s="886"/>
      <c r="CO494" s="16"/>
    </row>
    <row r="495" spans="1:93" s="1" customFormat="1" ht="15.6" x14ac:dyDescent="0.3">
      <c r="A495" s="14" t="s">
        <v>160</v>
      </c>
      <c r="B495" s="2"/>
      <c r="C495" s="36"/>
      <c r="D495" s="36"/>
      <c r="E495" s="48"/>
      <c r="F495" s="2"/>
      <c r="G495" s="2"/>
      <c r="H495" s="15"/>
      <c r="I495" s="15"/>
      <c r="J495" s="15"/>
      <c r="K495" s="121"/>
      <c r="M495" s="15"/>
      <c r="N495" s="15"/>
      <c r="P495" s="133"/>
      <c r="R495" s="15"/>
      <c r="S495" s="15"/>
      <c r="U495" s="15"/>
      <c r="V495" s="15"/>
      <c r="W495" s="15"/>
      <c r="X495" s="121"/>
      <c r="Z495" s="15"/>
      <c r="AA495" s="15"/>
      <c r="AC495" s="133"/>
      <c r="AE495" s="15"/>
      <c r="AF495" s="196"/>
      <c r="AH495" s="15"/>
      <c r="AI495" s="15"/>
      <c r="AJ495" s="15"/>
      <c r="AK495" s="121"/>
      <c r="AM495" s="15"/>
      <c r="AN495" s="15"/>
      <c r="AP495" s="133"/>
      <c r="AR495" s="15"/>
      <c r="AS495" s="15"/>
      <c r="AU495" s="15"/>
      <c r="AV495" s="15"/>
      <c r="AW495" s="15"/>
      <c r="AX495" s="121"/>
      <c r="AZ495" s="15"/>
      <c r="BA495" s="15"/>
      <c r="BC495" s="133"/>
      <c r="BE495" s="15"/>
      <c r="BF495" s="15"/>
      <c r="BH495" s="15"/>
      <c r="BI495" s="15"/>
      <c r="BJ495" s="15"/>
      <c r="BK495" s="121"/>
      <c r="BM495" s="15"/>
      <c r="BN495" s="15"/>
      <c r="BP495" s="234"/>
      <c r="BR495" s="15"/>
      <c r="BS495" s="15"/>
      <c r="BU495" s="15"/>
      <c r="BV495" s="529"/>
      <c r="BW495" s="574"/>
      <c r="BX495" s="575"/>
      <c r="BY495" s="573"/>
      <c r="BZ495" s="574"/>
      <c r="CA495" s="574"/>
      <c r="CB495" s="573"/>
      <c r="CC495" s="761"/>
      <c r="CD495" s="573"/>
      <c r="CE495" s="574"/>
      <c r="CF495" s="574"/>
      <c r="CH495" s="812"/>
      <c r="CI495" s="812"/>
      <c r="CJ495" s="886"/>
      <c r="CO495" s="16"/>
    </row>
    <row r="496" spans="1:93" x14ac:dyDescent="0.3">
      <c r="A496" s="11">
        <v>300</v>
      </c>
      <c r="B496" s="3" t="s">
        <v>2</v>
      </c>
      <c r="F496" s="3" t="s">
        <v>2</v>
      </c>
      <c r="G496" s="3" t="s">
        <v>486</v>
      </c>
      <c r="H496" s="26">
        <v>7602224</v>
      </c>
      <c r="I496" s="244">
        <v>224947</v>
      </c>
      <c r="J496" s="16">
        <f>H496+I496</f>
        <v>7827171</v>
      </c>
      <c r="K496" s="177">
        <f>IF(H496=0," ",(J496-H496)/H496)</f>
        <v>2.9589630613357353E-2</v>
      </c>
      <c r="M496" s="117">
        <v>7827171</v>
      </c>
      <c r="N496" s="117">
        <v>7827171</v>
      </c>
      <c r="P496" s="259"/>
      <c r="R496" s="26">
        <v>7827171</v>
      </c>
      <c r="S496" s="26">
        <v>7771719.7400000002</v>
      </c>
      <c r="U496" s="26">
        <v>7827171</v>
      </c>
      <c r="V496" s="244">
        <v>234816</v>
      </c>
      <c r="W496" s="16">
        <f>U496+V496</f>
        <v>8061987</v>
      </c>
      <c r="X496" s="177">
        <f>IF(U496=0," ",(W496-U496)/U496)</f>
        <v>3.0000111151270364E-2</v>
      </c>
      <c r="Z496" s="117">
        <v>8308071</v>
      </c>
      <c r="AA496" s="117">
        <v>8108071</v>
      </c>
      <c r="AC496" s="259" t="s">
        <v>707</v>
      </c>
      <c r="AE496" s="26">
        <v>8108071</v>
      </c>
      <c r="AF496" s="200">
        <v>7989051.0499999998</v>
      </c>
      <c r="AH496" s="26">
        <v>8108071</v>
      </c>
      <c r="AI496" s="244"/>
      <c r="AJ496" s="16">
        <f>AH496+AI496</f>
        <v>8108071</v>
      </c>
      <c r="AK496" s="177">
        <f>IF(AH496=0," ",(AJ496-AH496)/AH496)</f>
        <v>0</v>
      </c>
      <c r="AM496" s="117">
        <v>8320162</v>
      </c>
      <c r="AN496" s="117">
        <v>8320162</v>
      </c>
      <c r="AP496" s="259" t="s">
        <v>899</v>
      </c>
      <c r="AR496" s="26">
        <f>8320162+593068</f>
        <v>8913230</v>
      </c>
      <c r="AS496" s="26">
        <v>8695951.5600000005</v>
      </c>
      <c r="AU496" s="26">
        <f>AR496</f>
        <v>8913230</v>
      </c>
      <c r="AV496" s="244">
        <v>267397</v>
      </c>
      <c r="AW496" s="16">
        <f>AU496+AV496</f>
        <v>9180627</v>
      </c>
      <c r="AX496" s="177">
        <f>IF(AU496=0," ",(AW496-AU496)/AU496)</f>
        <v>3.0000011219277412E-2</v>
      </c>
      <c r="AZ496" s="117">
        <v>9180627</v>
      </c>
      <c r="BA496" s="117">
        <v>9117902</v>
      </c>
      <c r="BC496" s="259" t="s">
        <v>1089</v>
      </c>
      <c r="BE496" s="26">
        <v>9117902</v>
      </c>
      <c r="BF496" s="26">
        <v>9013437.1799999997</v>
      </c>
      <c r="BH496" s="26">
        <v>9117902</v>
      </c>
      <c r="BI496" s="244">
        <v>250753</v>
      </c>
      <c r="BJ496" s="16">
        <f>BH496+BI496</f>
        <v>9368655</v>
      </c>
      <c r="BK496" s="177">
        <f>IF(BH496=0," ",(BJ496-BH496)/BH496)</f>
        <v>2.7501172967202323E-2</v>
      </c>
      <c r="BM496" s="117">
        <v>9368645</v>
      </c>
      <c r="BN496" s="117">
        <v>9368644</v>
      </c>
      <c r="BP496" s="259" t="s">
        <v>1142</v>
      </c>
      <c r="BR496" s="117">
        <v>9368644</v>
      </c>
      <c r="BS496" s="26">
        <v>3569058.26</v>
      </c>
      <c r="BU496" s="26">
        <v>9368644</v>
      </c>
      <c r="BV496" s="244">
        <f>ROUNDUP(BU496*3%,0)</f>
        <v>281060</v>
      </c>
      <c r="BW496" s="576">
        <f>BU496+BV496</f>
        <v>9649704</v>
      </c>
      <c r="BX496" s="577">
        <f>IF(BU496=0," ",(BW496-BU496)/BU496)</f>
        <v>3.0000072582542361E-2</v>
      </c>
      <c r="BZ496" s="166">
        <v>9649704</v>
      </c>
      <c r="CA496" s="166">
        <v>9735523</v>
      </c>
      <c r="CC496" s="753" t="s">
        <v>1619</v>
      </c>
      <c r="CE496" s="166">
        <v>9735523</v>
      </c>
      <c r="CF496" s="166"/>
      <c r="CO496" s="16"/>
    </row>
    <row r="497" spans="1:95" s="19" customFormat="1" x14ac:dyDescent="0.3">
      <c r="A497" s="27"/>
      <c r="B497" s="8"/>
      <c r="C497" s="42"/>
      <c r="D497" s="42"/>
      <c r="E497" s="54"/>
      <c r="F497" s="8"/>
      <c r="G497" s="57" t="s">
        <v>489</v>
      </c>
      <c r="H497" s="28">
        <f t="shared" ref="H497:P497" si="247">SUM(H496)</f>
        <v>7602224</v>
      </c>
      <c r="I497" s="28">
        <f t="shared" si="247"/>
        <v>224947</v>
      </c>
      <c r="J497" s="28">
        <f t="shared" si="247"/>
        <v>7827171</v>
      </c>
      <c r="K497" s="123">
        <f>IF(H497=0," ",(J497-H497)/H497)</f>
        <v>2.9589630613357353E-2</v>
      </c>
      <c r="M497" s="28">
        <f t="shared" si="247"/>
        <v>7827171</v>
      </c>
      <c r="N497" s="28">
        <f t="shared" si="247"/>
        <v>7827171</v>
      </c>
      <c r="P497" s="139">
        <f t="shared" si="247"/>
        <v>0</v>
      </c>
      <c r="R497" s="28">
        <f>SUM(R496)</f>
        <v>7827171</v>
      </c>
      <c r="S497" s="28">
        <f>SUM(S496)</f>
        <v>7771719.7400000002</v>
      </c>
      <c r="U497" s="28">
        <f>SUM(U496)</f>
        <v>7827171</v>
      </c>
      <c r="V497" s="28">
        <f>SUM(V496)</f>
        <v>234816</v>
      </c>
      <c r="W497" s="28">
        <f>SUM(W496)</f>
        <v>8061987</v>
      </c>
      <c r="X497" s="123">
        <f>IF(U497=0," ",(W497-U497)/U497)</f>
        <v>3.0000111151270364E-2</v>
      </c>
      <c r="Z497" s="28">
        <f>SUM(Z496)</f>
        <v>8308071</v>
      </c>
      <c r="AA497" s="28">
        <f>SUM(AA496)</f>
        <v>8108071</v>
      </c>
      <c r="AC497" s="139"/>
      <c r="AE497" s="28">
        <f>SUM(AE496)</f>
        <v>8108071</v>
      </c>
      <c r="AF497" s="201">
        <f>SUM(AF496)</f>
        <v>7989051.0499999998</v>
      </c>
      <c r="AH497" s="28">
        <v>8108071</v>
      </c>
      <c r="AI497" s="28">
        <f>SUM(AI496)</f>
        <v>0</v>
      </c>
      <c r="AJ497" s="28">
        <f>SUM(AJ496)</f>
        <v>8108071</v>
      </c>
      <c r="AK497" s="123">
        <f>IF(AH497=0," ",(AJ497-AH497)/AH497)</f>
        <v>0</v>
      </c>
      <c r="AM497" s="28">
        <f>SUM(AM496)</f>
        <v>8320162</v>
      </c>
      <c r="AN497" s="28">
        <f>SUM(AN496)</f>
        <v>8320162</v>
      </c>
      <c r="AP497" s="139"/>
      <c r="AR497" s="28">
        <f>SUM(AR496)</f>
        <v>8913230</v>
      </c>
      <c r="AS497" s="28">
        <f>SUM(AS496)</f>
        <v>8695951.5600000005</v>
      </c>
      <c r="AU497" s="28">
        <f>SUM(AU496)</f>
        <v>8913230</v>
      </c>
      <c r="AV497" s="28">
        <f>SUM(AV496)</f>
        <v>267397</v>
      </c>
      <c r="AW497" s="28">
        <f>SUM(AW496)</f>
        <v>9180627</v>
      </c>
      <c r="AX497" s="123">
        <f>IF(AU497=0," ",(AW497-AU497)/AU497)</f>
        <v>3.0000011219277412E-2</v>
      </c>
      <c r="AZ497" s="28">
        <f>SUM(AZ496)</f>
        <v>9180627</v>
      </c>
      <c r="BA497" s="28">
        <f>SUM(BA496)</f>
        <v>9117902</v>
      </c>
      <c r="BC497" s="139"/>
      <c r="BE497" s="28">
        <f>SUM(BE496)</f>
        <v>9117902</v>
      </c>
      <c r="BF497" s="28">
        <f>SUM(BF496)</f>
        <v>9013437.1799999997</v>
      </c>
      <c r="BG497" s="9"/>
      <c r="BH497" s="28">
        <f>SUM(BH496)</f>
        <v>9117902</v>
      </c>
      <c r="BI497" s="28">
        <f>SUM(BI496)</f>
        <v>250753</v>
      </c>
      <c r="BJ497" s="28">
        <f>SUM(BJ496)</f>
        <v>9368655</v>
      </c>
      <c r="BK497" s="123">
        <f>IF(BH497=0," ",(BJ497-BH497)/BH497)</f>
        <v>2.7501172967202323E-2</v>
      </c>
      <c r="BM497" s="28">
        <f>SUM(BM496)</f>
        <v>9368645</v>
      </c>
      <c r="BN497" s="28">
        <f>SUM(BN496)</f>
        <v>9368644</v>
      </c>
      <c r="BP497" s="139"/>
      <c r="BR497" s="28">
        <f>SUM(BR496)</f>
        <v>9368644</v>
      </c>
      <c r="BS497" s="28">
        <f>SUM(BS496)</f>
        <v>3569058.26</v>
      </c>
      <c r="BT497" s="9"/>
      <c r="BU497" s="28">
        <f>SUM(BU496)</f>
        <v>9368644</v>
      </c>
      <c r="BV497" s="532">
        <f>SUM(BV496)</f>
        <v>281060</v>
      </c>
      <c r="BW497" s="591">
        <f>SUM(BW496)</f>
        <v>9649704</v>
      </c>
      <c r="BX497" s="579">
        <f>IF(BU497=0," ",(BW497-BU497)/BU497)</f>
        <v>3.0000072582542361E-2</v>
      </c>
      <c r="BY497" s="580"/>
      <c r="BZ497" s="591">
        <f>SUM(BZ496)</f>
        <v>9649704</v>
      </c>
      <c r="CA497" s="591">
        <f>SUM(CA496)</f>
        <v>9735523</v>
      </c>
      <c r="CB497" s="580"/>
      <c r="CC497" s="769"/>
      <c r="CD497" s="580"/>
      <c r="CE497" s="591">
        <f>SUM(CE496)</f>
        <v>9735523</v>
      </c>
      <c r="CF497" s="591">
        <f>SUM(CF496)</f>
        <v>0</v>
      </c>
      <c r="CG497" s="9"/>
      <c r="CH497" s="815"/>
      <c r="CI497" s="915">
        <v>9735523</v>
      </c>
      <c r="CJ497" s="895">
        <v>44648</v>
      </c>
      <c r="CK497" s="896" t="s">
        <v>1649</v>
      </c>
      <c r="CL497" s="896" t="s">
        <v>1648</v>
      </c>
      <c r="CM497" s="1" t="s">
        <v>1650</v>
      </c>
      <c r="CN497" s="1"/>
      <c r="CO497" s="16"/>
      <c r="CP497" s="1"/>
      <c r="CQ497" s="1"/>
    </row>
    <row r="498" spans="1:95" x14ac:dyDescent="0.3">
      <c r="AS498" s="16"/>
      <c r="CO498" s="16"/>
    </row>
    <row r="499" spans="1:95" x14ac:dyDescent="0.3">
      <c r="A499" s="11">
        <v>300</v>
      </c>
      <c r="B499" s="3" t="s">
        <v>2</v>
      </c>
      <c r="C499" s="37">
        <v>30205</v>
      </c>
      <c r="D499" s="37">
        <v>56950</v>
      </c>
      <c r="E499" s="49" t="s">
        <v>359</v>
      </c>
      <c r="F499" s="3" t="s">
        <v>2</v>
      </c>
      <c r="G499" s="3" t="s">
        <v>6</v>
      </c>
      <c r="H499" s="26">
        <v>6739123</v>
      </c>
      <c r="I499" s="244">
        <v>210404</v>
      </c>
      <c r="J499" s="16">
        <f>H499+I499</f>
        <v>6949527</v>
      </c>
      <c r="K499" s="122">
        <f>IF(H499=0," ",(J499-H499)/H499)</f>
        <v>3.1221273153791675E-2</v>
      </c>
      <c r="M499" s="117">
        <v>6910110</v>
      </c>
      <c r="N499" s="117">
        <v>6910110</v>
      </c>
      <c r="P499" s="259"/>
      <c r="R499" s="26">
        <v>6910110</v>
      </c>
      <c r="S499" s="26">
        <v>6910110</v>
      </c>
      <c r="U499" s="26">
        <v>6910110</v>
      </c>
      <c r="V499" s="244">
        <v>207304</v>
      </c>
      <c r="W499" s="16">
        <f>U499+V499</f>
        <v>7117414</v>
      </c>
      <c r="X499" s="122">
        <f>IF(U499=0," ",(W499-U499)/U499)</f>
        <v>3.0000101300847598E-2</v>
      </c>
      <c r="Z499" s="117">
        <v>7286699</v>
      </c>
      <c r="AA499" s="117">
        <v>7286699</v>
      </c>
      <c r="AC499" s="259" t="s">
        <v>729</v>
      </c>
      <c r="AE499" s="26">
        <v>7286699</v>
      </c>
      <c r="AF499" s="200">
        <v>7286698.8399999999</v>
      </c>
      <c r="AH499" s="26">
        <v>7286699</v>
      </c>
      <c r="AI499" s="244">
        <f>7505300-AH499</f>
        <v>218601</v>
      </c>
      <c r="AJ499" s="16">
        <f>AH499+AI499</f>
        <v>7505300</v>
      </c>
      <c r="AK499" s="122">
        <f>IF(AH499=0," ",(AJ499-AH499)/AH499)</f>
        <v>3.0000004117090605E-2</v>
      </c>
      <c r="AM499" s="117">
        <v>7408262</v>
      </c>
      <c r="AN499" s="117">
        <v>7408262</v>
      </c>
      <c r="AP499" s="259"/>
      <c r="AR499" s="26">
        <v>7408262</v>
      </c>
      <c r="AS499" s="26">
        <v>7408262</v>
      </c>
      <c r="AU499" s="26">
        <f>AR499</f>
        <v>7408262</v>
      </c>
      <c r="AV499" s="244">
        <v>222258</v>
      </c>
      <c r="AW499" s="16">
        <f>AU499+AV499</f>
        <v>7630520</v>
      </c>
      <c r="AX499" s="122">
        <f>IF(AU499=0," ",(AW499-AU499)/AU499)</f>
        <v>3.0001368742088225E-2</v>
      </c>
      <c r="AZ499" s="117">
        <v>7630520</v>
      </c>
      <c r="BA499" s="117">
        <v>7408262</v>
      </c>
      <c r="BC499" s="259" t="s">
        <v>1086</v>
      </c>
      <c r="BE499" s="26">
        <v>7745305</v>
      </c>
      <c r="BF499" s="26">
        <v>7745305</v>
      </c>
      <c r="BH499" s="26">
        <v>7745305</v>
      </c>
      <c r="BI499" s="244">
        <v>232360</v>
      </c>
      <c r="BJ499" s="16">
        <f>BH499+BI499</f>
        <v>7977665</v>
      </c>
      <c r="BK499" s="122">
        <f>IF(BH499=0," ",(BJ499-BH499)/BH499)</f>
        <v>3.0000109743902919E-2</v>
      </c>
      <c r="BM499" s="117">
        <f>8165129+256022</f>
        <v>8421151</v>
      </c>
      <c r="BN499" s="117">
        <v>8394366</v>
      </c>
      <c r="BP499" s="414" t="s">
        <v>1163</v>
      </c>
      <c r="BR499" s="117">
        <v>8394366</v>
      </c>
      <c r="BS499" s="26">
        <v>4197183</v>
      </c>
      <c r="BU499" s="26">
        <v>8394366</v>
      </c>
      <c r="BV499" s="244">
        <f>ROUNDUP(BU499*2.75%,0)</f>
        <v>230846</v>
      </c>
      <c r="BW499" s="576">
        <f>BU499+BV499</f>
        <v>8625212</v>
      </c>
      <c r="BX499" s="577">
        <f>IF(BU499=0," ",(BW499-BU499)/BU499)</f>
        <v>2.7500111384230804E-2</v>
      </c>
      <c r="BZ499" s="166">
        <v>8625212</v>
      </c>
      <c r="CA499" s="854">
        <v>8776844</v>
      </c>
      <c r="CC499" s="753" t="s">
        <v>1625</v>
      </c>
      <c r="CE499" s="854">
        <v>8776844</v>
      </c>
      <c r="CF499" s="166"/>
      <c r="CH499" s="822"/>
      <c r="CI499" s="822"/>
      <c r="CO499" s="16"/>
    </row>
    <row r="500" spans="1:95" x14ac:dyDescent="0.3">
      <c r="A500" s="11">
        <v>300</v>
      </c>
      <c r="B500" s="3" t="s">
        <v>2</v>
      </c>
      <c r="C500" s="37">
        <v>30205</v>
      </c>
      <c r="D500" s="37">
        <v>56951</v>
      </c>
      <c r="E500" s="49" t="s">
        <v>359</v>
      </c>
      <c r="F500" s="3" t="s">
        <v>2</v>
      </c>
      <c r="G500" s="3" t="s">
        <v>7</v>
      </c>
      <c r="H500" s="26">
        <v>286226</v>
      </c>
      <c r="I500" s="244">
        <v>11130</v>
      </c>
      <c r="J500" s="16">
        <f>H500+I500</f>
        <v>297356</v>
      </c>
      <c r="K500" s="122">
        <f>IF(H500=0," ",(J500-H500)/H500)</f>
        <v>3.8885356326818665E-2</v>
      </c>
      <c r="M500" s="117">
        <v>297356</v>
      </c>
      <c r="N500" s="117">
        <v>289403</v>
      </c>
      <c r="P500" s="259"/>
      <c r="R500" s="26">
        <v>289403</v>
      </c>
      <c r="S500" s="26">
        <v>289403</v>
      </c>
      <c r="U500" s="26">
        <v>289403</v>
      </c>
      <c r="V500" s="244"/>
      <c r="W500" s="16">
        <f>U500+V500</f>
        <v>289403</v>
      </c>
      <c r="X500" s="122">
        <f>IF(U500=0," ",(W500-U500)/U500)</f>
        <v>0</v>
      </c>
      <c r="Z500" s="117">
        <v>292714</v>
      </c>
      <c r="AA500" s="117">
        <v>292714</v>
      </c>
      <c r="AC500" s="259" t="s">
        <v>729</v>
      </c>
      <c r="AE500" s="26">
        <v>292714</v>
      </c>
      <c r="AF500" s="200">
        <v>292714</v>
      </c>
      <c r="AH500" s="26">
        <v>292714</v>
      </c>
      <c r="AI500" s="244">
        <f>285305-AH500</f>
        <v>-7409</v>
      </c>
      <c r="AJ500" s="16">
        <f>AH500+AI500</f>
        <v>285305</v>
      </c>
      <c r="AK500" s="122">
        <f>IF(AH500=0," ",(AJ500-AH500)/AH500)</f>
        <v>-2.5311396106779998E-2</v>
      </c>
      <c r="AM500" s="117">
        <v>285306</v>
      </c>
      <c r="AN500" s="117">
        <v>285306</v>
      </c>
      <c r="AP500" s="259"/>
      <c r="AR500" s="26">
        <v>285306</v>
      </c>
      <c r="AS500" s="26">
        <v>285305.31</v>
      </c>
      <c r="AU500" s="26">
        <f>AR500</f>
        <v>285306</v>
      </c>
      <c r="AV500" s="244">
        <v>8550</v>
      </c>
      <c r="AW500" s="16">
        <f>AU500+AV500</f>
        <v>293856</v>
      </c>
      <c r="AX500" s="122">
        <f>IF(AU500=0," ",(AW500-AU500)/AU500)</f>
        <v>2.9967824020525332E-2</v>
      </c>
      <c r="AZ500" s="117">
        <v>293856</v>
      </c>
      <c r="BA500" s="117">
        <v>285305.31</v>
      </c>
      <c r="BC500" s="259" t="s">
        <v>1086</v>
      </c>
      <c r="BE500" s="26">
        <v>80537</v>
      </c>
      <c r="BF500" s="26">
        <v>80537</v>
      </c>
      <c r="BH500" s="26">
        <v>80537</v>
      </c>
      <c r="BI500" s="244"/>
      <c r="BJ500" s="16">
        <f>BH500+BI500</f>
        <v>80537</v>
      </c>
      <c r="BK500" s="122">
        <f>IF(BH500=0," ",(BJ500-BH500)/BH500)</f>
        <v>0</v>
      </c>
      <c r="BM500" s="117">
        <v>82467</v>
      </c>
      <c r="BN500" s="117">
        <v>82467</v>
      </c>
      <c r="BP500" s="259"/>
      <c r="BR500" s="117">
        <v>82467</v>
      </c>
      <c r="BS500" s="26">
        <v>41233.5</v>
      </c>
      <c r="BU500" s="26">
        <v>82467</v>
      </c>
      <c r="BV500" s="244">
        <v>139503</v>
      </c>
      <c r="BW500" s="576">
        <f>BU500+BV500</f>
        <v>221970</v>
      </c>
      <c r="BX500" s="577">
        <f>IF(BU500=0," ",(BW500-BU500)/BU500)</f>
        <v>1.6916221033868093</v>
      </c>
      <c r="BZ500" s="166">
        <v>221970</v>
      </c>
      <c r="CA500" s="166"/>
      <c r="CC500" s="753"/>
      <c r="CE500" s="166"/>
      <c r="CF500" s="166"/>
      <c r="CO500" s="16"/>
    </row>
    <row r="501" spans="1:95" s="19" customFormat="1" x14ac:dyDescent="0.3">
      <c r="A501" s="27"/>
      <c r="B501" s="8"/>
      <c r="C501" s="42"/>
      <c r="D501" s="42"/>
      <c r="E501" s="54"/>
      <c r="F501" s="8"/>
      <c r="G501" s="57" t="s">
        <v>490</v>
      </c>
      <c r="H501" s="28">
        <f t="shared" ref="H501:P501" si="248">SUM(H499:H500)</f>
        <v>7025349</v>
      </c>
      <c r="I501" s="28">
        <f t="shared" si="248"/>
        <v>221534</v>
      </c>
      <c r="J501" s="28">
        <f t="shared" si="248"/>
        <v>7246883</v>
      </c>
      <c r="K501" s="123">
        <f>IF(H501=0," ",(J501-H501)/H501)</f>
        <v>3.1533522391556636E-2</v>
      </c>
      <c r="M501" s="28">
        <f>SUM(M499:M500)</f>
        <v>7207466</v>
      </c>
      <c r="N501" s="28">
        <f t="shared" si="248"/>
        <v>7199513</v>
      </c>
      <c r="P501" s="139">
        <f t="shared" si="248"/>
        <v>0</v>
      </c>
      <c r="R501" s="28">
        <f>SUM(R499:R500)</f>
        <v>7199513</v>
      </c>
      <c r="S501" s="28">
        <f>SUM(S499:S500)</f>
        <v>7199513</v>
      </c>
      <c r="U501" s="28">
        <f>SUM(U499:U500)</f>
        <v>7199513</v>
      </c>
      <c r="V501" s="28">
        <f>SUM(V499:V500)</f>
        <v>207304</v>
      </c>
      <c r="W501" s="28">
        <f>SUM(W499:W500)</f>
        <v>7406817</v>
      </c>
      <c r="X501" s="123">
        <f>IF(U501=0," ",(W501-U501)/U501)</f>
        <v>2.8794169827875856E-2</v>
      </c>
      <c r="Z501" s="28">
        <f>SUM(Z499:Z500)</f>
        <v>7579413</v>
      </c>
      <c r="AA501" s="28">
        <f>SUM(AA499:AA500)</f>
        <v>7579413</v>
      </c>
      <c r="AC501" s="139"/>
      <c r="AE501" s="28">
        <f>SUM(AE499:AE500)</f>
        <v>7579413</v>
      </c>
      <c r="AF501" s="201">
        <f>SUM(AF499:AF500)</f>
        <v>7579412.8399999999</v>
      </c>
      <c r="AH501" s="28">
        <v>7579413</v>
      </c>
      <c r="AI501" s="28">
        <f>SUM(AI499:AI500)</f>
        <v>211192</v>
      </c>
      <c r="AJ501" s="28">
        <f>SUM(AJ499:AJ500)</f>
        <v>7790605</v>
      </c>
      <c r="AK501" s="123">
        <f>IF(AH501=0," ",(AJ501-AH501)/AH501)</f>
        <v>2.7863899222802611E-2</v>
      </c>
      <c r="AM501" s="28">
        <f>SUM(AM499:AM500)</f>
        <v>7693568</v>
      </c>
      <c r="AN501" s="28">
        <f>SUM(AN499:AN500)</f>
        <v>7693568</v>
      </c>
      <c r="AP501" s="139"/>
      <c r="AR501" s="28">
        <f>SUM(AR499:AR500)</f>
        <v>7693568</v>
      </c>
      <c r="AS501" s="28">
        <f>SUM(AS499:AS500)</f>
        <v>7693567.3099999996</v>
      </c>
      <c r="AU501" s="28">
        <f>SUM(AU499:AU500)</f>
        <v>7693568</v>
      </c>
      <c r="AV501" s="28">
        <f>SUM(AV499:AV500)</f>
        <v>230808</v>
      </c>
      <c r="AW501" s="28">
        <f>SUM(AW499:AW500)</f>
        <v>7924376</v>
      </c>
      <c r="AX501" s="123">
        <f>IF(AU501=0," ",(AW501-AU501)/AU501)</f>
        <v>3.0000124779556117E-2</v>
      </c>
      <c r="AZ501" s="28">
        <f>SUM(AZ499:AZ500)</f>
        <v>7924376</v>
      </c>
      <c r="BA501" s="28">
        <f>SUM(BA499:BA500)</f>
        <v>7693567.3099999996</v>
      </c>
      <c r="BC501" s="139"/>
      <c r="BE501" s="28">
        <f>SUM(BE499:BE500)</f>
        <v>7825842</v>
      </c>
      <c r="BF501" s="28">
        <f>SUM(BF499:BF500)</f>
        <v>7825842</v>
      </c>
      <c r="BG501" s="9"/>
      <c r="BH501" s="28">
        <f>SUM(BH499:BH500)</f>
        <v>7825842</v>
      </c>
      <c r="BI501" s="28">
        <f>SUM(BI499:BI500)</f>
        <v>232360</v>
      </c>
      <c r="BJ501" s="28">
        <f>SUM(BJ499:BJ500)</f>
        <v>8058202</v>
      </c>
      <c r="BK501" s="123">
        <f>IF(BH501=0," ",(BJ501-BH501)/BH501)</f>
        <v>2.9691373784443899E-2</v>
      </c>
      <c r="BM501" s="28">
        <f>SUM(BM499:BM500)</f>
        <v>8503618</v>
      </c>
      <c r="BN501" s="28">
        <f>SUM(BN499:BN500)</f>
        <v>8476833</v>
      </c>
      <c r="BP501" s="139"/>
      <c r="BR501" s="28">
        <f>SUM(BR499:BR500)</f>
        <v>8476833</v>
      </c>
      <c r="BS501" s="28">
        <f>SUM(BS499:BS500)</f>
        <v>4238416.5</v>
      </c>
      <c r="BT501" s="9"/>
      <c r="BU501" s="28">
        <f>SUM(BU499:BU500)</f>
        <v>8476833</v>
      </c>
      <c r="BV501" s="532">
        <f>SUM(BV499:BV500)</f>
        <v>370349</v>
      </c>
      <c r="BW501" s="591">
        <f>SUM(BW499:BW500)</f>
        <v>8847182</v>
      </c>
      <c r="BX501" s="579">
        <f>IF(BU501=0," ",(BW501-BU501)/BU501)</f>
        <v>4.3689547735575304E-2</v>
      </c>
      <c r="BY501" s="580"/>
      <c r="BZ501" s="591">
        <f>SUM(BZ499:BZ500)</f>
        <v>8847182</v>
      </c>
      <c r="CA501" s="591">
        <f>SUM(CA499:CA500)</f>
        <v>8776844</v>
      </c>
      <c r="CB501" s="580"/>
      <c r="CC501" s="769"/>
      <c r="CD501" s="580"/>
      <c r="CE501" s="591">
        <f>SUM(CE499:CE500)</f>
        <v>8776844</v>
      </c>
      <c r="CF501" s="591">
        <f>SUM(CF499:CF500)</f>
        <v>0</v>
      </c>
      <c r="CG501" s="9"/>
      <c r="CH501" s="815"/>
      <c r="CI501" s="815"/>
      <c r="CJ501" s="890"/>
      <c r="CO501" s="16"/>
    </row>
    <row r="502" spans="1:95" x14ac:dyDescent="0.3">
      <c r="AS502" s="16"/>
      <c r="CO502" s="16"/>
    </row>
    <row r="503" spans="1:95" x14ac:dyDescent="0.3">
      <c r="A503" s="11">
        <v>300</v>
      </c>
      <c r="B503" s="3" t="s">
        <v>2</v>
      </c>
      <c r="C503" s="37">
        <v>30405</v>
      </c>
      <c r="D503" s="37">
        <v>56900</v>
      </c>
      <c r="E503" s="49" t="s">
        <v>359</v>
      </c>
      <c r="F503" s="3" t="s">
        <v>2</v>
      </c>
      <c r="G503" s="3" t="s">
        <v>8</v>
      </c>
      <c r="H503" s="26">
        <v>191263</v>
      </c>
      <c r="I503" s="244">
        <v>39679</v>
      </c>
      <c r="J503" s="16">
        <f>H503+I503</f>
        <v>230942</v>
      </c>
      <c r="K503" s="122">
        <f>IF(H503=0," ",(J503-H503)/H503)</f>
        <v>0.20745779371859691</v>
      </c>
      <c r="M503" s="117">
        <v>230942</v>
      </c>
      <c r="N503" s="117">
        <v>230942</v>
      </c>
      <c r="P503" s="259"/>
      <c r="R503" s="26">
        <v>230942</v>
      </c>
      <c r="S503" s="26">
        <v>220690</v>
      </c>
      <c r="U503" s="26">
        <v>230942</v>
      </c>
      <c r="V503" s="244">
        <v>6929</v>
      </c>
      <c r="W503" s="16">
        <f>U503+V503</f>
        <v>237871</v>
      </c>
      <c r="X503" s="122">
        <f>IF(U503=0," ",(W503-U503)/U503)</f>
        <v>3.0003204267738219E-2</v>
      </c>
      <c r="Z503" s="117">
        <v>262439</v>
      </c>
      <c r="AA503" s="117">
        <v>260101</v>
      </c>
      <c r="AC503" s="259" t="s">
        <v>728</v>
      </c>
      <c r="AE503" s="26">
        <v>260101</v>
      </c>
      <c r="AF503" s="200">
        <v>256915</v>
      </c>
      <c r="AH503" s="26">
        <v>260101</v>
      </c>
      <c r="AI503" s="244">
        <f>267905-260101</f>
        <v>7804</v>
      </c>
      <c r="AJ503" s="16">
        <f>AH503+AI503</f>
        <v>267905</v>
      </c>
      <c r="AK503" s="122">
        <f>IF(AH503=0," ",(AJ503-AH503)/AH503)</f>
        <v>3.0003729320533176E-2</v>
      </c>
      <c r="AM503" s="117">
        <v>302815</v>
      </c>
      <c r="AN503" s="117">
        <v>302815</v>
      </c>
      <c r="AP503" s="259"/>
      <c r="AR503" s="26">
        <v>302815</v>
      </c>
      <c r="AS503" s="26">
        <v>301595</v>
      </c>
      <c r="AU503" s="26">
        <f>AR503</f>
        <v>302815</v>
      </c>
      <c r="AV503" s="244">
        <v>9085</v>
      </c>
      <c r="AW503" s="16">
        <f>AU503+AV503</f>
        <v>311900</v>
      </c>
      <c r="AX503" s="122">
        <f>IF(AU503=0," ",(AW503-AU503)/AU503)</f>
        <v>3.0001816290474381E-2</v>
      </c>
      <c r="AZ503" s="117">
        <v>311900</v>
      </c>
      <c r="BA503" s="117">
        <v>301595</v>
      </c>
      <c r="BC503" s="259" t="s">
        <v>1087</v>
      </c>
      <c r="BE503" s="26">
        <v>364498</v>
      </c>
      <c r="BF503" s="26">
        <v>361812</v>
      </c>
      <c r="BH503" s="26">
        <v>364498</v>
      </c>
      <c r="BI503" s="244">
        <v>10934</v>
      </c>
      <c r="BJ503" s="16">
        <f>BH503+BI503</f>
        <v>375432</v>
      </c>
      <c r="BK503" s="122">
        <f>IF(BH503=0," ",(BJ503-BH503)/BH503)</f>
        <v>2.9997421110678248E-2</v>
      </c>
      <c r="BM503" s="117">
        <v>419370</v>
      </c>
      <c r="BN503" s="117">
        <v>419370</v>
      </c>
      <c r="BP503" s="259" t="s">
        <v>1152</v>
      </c>
      <c r="BR503" s="117">
        <v>419370</v>
      </c>
      <c r="BS503" s="26">
        <v>314919</v>
      </c>
      <c r="BU503" s="26">
        <v>419370</v>
      </c>
      <c r="BV503" s="244">
        <f>ROUNDUP(BU503*3%,0)</f>
        <v>12582</v>
      </c>
      <c r="BW503" s="576">
        <f>BU503+BV503</f>
        <v>431952</v>
      </c>
      <c r="BX503" s="577">
        <f>IF(BU503=0," ",(BW503-BU503)/BU503)</f>
        <v>3.0002146076257244E-2</v>
      </c>
      <c r="BZ503" s="166">
        <v>431952</v>
      </c>
      <c r="CA503" s="854">
        <v>442571</v>
      </c>
      <c r="CC503" s="753" t="s">
        <v>1587</v>
      </c>
      <c r="CE503" s="854">
        <v>442571</v>
      </c>
      <c r="CF503" s="166"/>
      <c r="CO503" s="16"/>
    </row>
    <row r="504" spans="1:95" s="19" customFormat="1" x14ac:dyDescent="0.3">
      <c r="A504" s="27"/>
      <c r="B504" s="8"/>
      <c r="C504" s="42"/>
      <c r="D504" s="42"/>
      <c r="E504" s="54"/>
      <c r="F504" s="8"/>
      <c r="G504" s="56" t="s">
        <v>491</v>
      </c>
      <c r="H504" s="28">
        <f>SUM(H503:H503)</f>
        <v>191263</v>
      </c>
      <c r="I504" s="28">
        <f>SUM(I503:I503)</f>
        <v>39679</v>
      </c>
      <c r="J504" s="28">
        <f>SUM(J503:J503)</f>
        <v>230942</v>
      </c>
      <c r="K504" s="123">
        <f>IF(H504=0," ",(J504-H504)/H504)</f>
        <v>0.20745779371859691</v>
      </c>
      <c r="M504" s="28">
        <f>SUM(M503:M503)</f>
        <v>230942</v>
      </c>
      <c r="N504" s="28">
        <f>SUM(N503:N503)</f>
        <v>230942</v>
      </c>
      <c r="P504" s="139">
        <f>SUM(P503:P503)</f>
        <v>0</v>
      </c>
      <c r="R504" s="28">
        <f>SUM(R503:R503)</f>
        <v>230942</v>
      </c>
      <c r="S504" s="28">
        <f>SUM(S503:S503)</f>
        <v>220690</v>
      </c>
      <c r="U504" s="28">
        <f>SUM(U503:U503)</f>
        <v>230942</v>
      </c>
      <c r="V504" s="28">
        <f>SUM(V503:V503)</f>
        <v>6929</v>
      </c>
      <c r="W504" s="28">
        <f>SUM(W503:W503)</f>
        <v>237871</v>
      </c>
      <c r="X504" s="123">
        <f>IF(U504=0," ",(W504-U504)/U504)</f>
        <v>3.0003204267738219E-2</v>
      </c>
      <c r="Z504" s="28">
        <f>SUM(Z503:Z503)</f>
        <v>262439</v>
      </c>
      <c r="AA504" s="28">
        <f>SUM(AA503:AA503)</f>
        <v>260101</v>
      </c>
      <c r="AC504" s="139"/>
      <c r="AE504" s="28">
        <f>SUM(AE503:AE503)</f>
        <v>260101</v>
      </c>
      <c r="AF504" s="201">
        <f>SUM(AF503:AF503)</f>
        <v>256915</v>
      </c>
      <c r="AH504" s="28">
        <v>260101</v>
      </c>
      <c r="AI504" s="28">
        <f>SUM(AI503:AI503)</f>
        <v>7804</v>
      </c>
      <c r="AJ504" s="28">
        <f>SUM(AJ503:AJ503)</f>
        <v>267905</v>
      </c>
      <c r="AK504" s="123">
        <f>IF(AH504=0," ",(AJ504-AH504)/AH504)</f>
        <v>3.0003729320533176E-2</v>
      </c>
      <c r="AM504" s="28">
        <f>SUM(AM503:AM503)</f>
        <v>302815</v>
      </c>
      <c r="AN504" s="28">
        <f>SUM(AN503:AN503)</f>
        <v>302815</v>
      </c>
      <c r="AP504" s="139"/>
      <c r="AR504" s="28">
        <f>SUM(AR503:AR503)</f>
        <v>302815</v>
      </c>
      <c r="AS504" s="28">
        <f>SUM(AS503:AS503)</f>
        <v>301595</v>
      </c>
      <c r="AU504" s="28">
        <f>SUM(AU503:AU503)</f>
        <v>302815</v>
      </c>
      <c r="AV504" s="28">
        <f>SUM(AV503:AV503)</f>
        <v>9085</v>
      </c>
      <c r="AW504" s="28">
        <f>SUM(AW503:AW503)</f>
        <v>311900</v>
      </c>
      <c r="AX504" s="123">
        <f>IF(AU504=0," ",(AW504-AU504)/AU504)</f>
        <v>3.0001816290474381E-2</v>
      </c>
      <c r="AZ504" s="28">
        <f>SUM(AZ503:AZ503)</f>
        <v>311900</v>
      </c>
      <c r="BA504" s="28">
        <f>SUM(BA503:BA503)</f>
        <v>301595</v>
      </c>
      <c r="BC504" s="139"/>
      <c r="BE504" s="28">
        <f>SUM(BE503:BE503)</f>
        <v>364498</v>
      </c>
      <c r="BF504" s="28">
        <f>SUM(BF503:BF503)</f>
        <v>361812</v>
      </c>
      <c r="BG504" s="9"/>
      <c r="BH504" s="28">
        <f>SUM(BH503:BH503)</f>
        <v>364498</v>
      </c>
      <c r="BI504" s="28">
        <f>SUM(BI503:BI503)</f>
        <v>10934</v>
      </c>
      <c r="BJ504" s="28">
        <f>SUM(BJ503:BJ503)</f>
        <v>375432</v>
      </c>
      <c r="BK504" s="123">
        <f>IF(BH504=0," ",(BJ504-BH504)/BH504)</f>
        <v>2.9997421110678248E-2</v>
      </c>
      <c r="BM504" s="28">
        <f>SUM(BM503:BM503)</f>
        <v>419370</v>
      </c>
      <c r="BN504" s="28">
        <f>SUM(BN503:BN503)</f>
        <v>419370</v>
      </c>
      <c r="BP504" s="139"/>
      <c r="BR504" s="28">
        <f>SUM(BR503:BR503)</f>
        <v>419370</v>
      </c>
      <c r="BS504" s="28">
        <f>SUM(BS503:BS503)</f>
        <v>314919</v>
      </c>
      <c r="BT504" s="9"/>
      <c r="BU504" s="28">
        <f>SUM(BU503:BU503)</f>
        <v>419370</v>
      </c>
      <c r="BV504" s="532">
        <f>SUM(BV503:BV503)</f>
        <v>12582</v>
      </c>
      <c r="BW504" s="591">
        <f>SUM(BW503:BW503)</f>
        <v>431952</v>
      </c>
      <c r="BX504" s="579">
        <f>IF(BU504=0," ",(BW504-BU504)/BU504)</f>
        <v>3.0002146076257244E-2</v>
      </c>
      <c r="BY504" s="580"/>
      <c r="BZ504" s="591">
        <f>SUM(BZ503:BZ503)</f>
        <v>431952</v>
      </c>
      <c r="CA504" s="591">
        <f>SUM(CA503:CA503)</f>
        <v>442571</v>
      </c>
      <c r="CB504" s="580"/>
      <c r="CC504" s="769"/>
      <c r="CD504" s="580"/>
      <c r="CE504" s="591">
        <f>SUM(CE503:CE503)</f>
        <v>442571</v>
      </c>
      <c r="CF504" s="591">
        <f>SUM(CF503:CF503)</f>
        <v>0</v>
      </c>
      <c r="CG504" s="9"/>
      <c r="CH504" s="815"/>
      <c r="CI504" s="815"/>
      <c r="CJ504" s="890"/>
      <c r="CO504" s="16"/>
    </row>
    <row r="505" spans="1:95" ht="9.9" customHeight="1" x14ac:dyDescent="0.3">
      <c r="AS505" s="16"/>
      <c r="CO505" s="16"/>
    </row>
    <row r="506" spans="1:95" s="1" customFormat="1" x14ac:dyDescent="0.3">
      <c r="A506" s="20"/>
      <c r="B506" s="5"/>
      <c r="C506" s="39"/>
      <c r="D506" s="39"/>
      <c r="E506" s="51"/>
      <c r="F506" s="5"/>
      <c r="G506" s="21" t="s">
        <v>181</v>
      </c>
      <c r="H506" s="22">
        <f>H497+H501+H504</f>
        <v>14818836</v>
      </c>
      <c r="I506" s="22">
        <f>I497+I501+I504</f>
        <v>486160</v>
      </c>
      <c r="J506" s="22">
        <f>J497+J501+J504</f>
        <v>15304996</v>
      </c>
      <c r="K506" s="124">
        <f>IF(H506=0," ",(J506-H506)/H506)</f>
        <v>3.2806895224429235E-2</v>
      </c>
      <c r="M506" s="22">
        <f>M497+M501+M504</f>
        <v>15265579</v>
      </c>
      <c r="N506" s="22">
        <f>N497+N501+N504</f>
        <v>15257626</v>
      </c>
      <c r="P506" s="136">
        <f>P497+P501+P504</f>
        <v>0</v>
      </c>
      <c r="R506" s="22">
        <f>R497+R501+R504</f>
        <v>15257626</v>
      </c>
      <c r="S506" s="22">
        <f>S497+S501+S504</f>
        <v>15191922.74</v>
      </c>
      <c r="U506" s="22">
        <f>U497+U501+U504</f>
        <v>15257626</v>
      </c>
      <c r="V506" s="22">
        <f>V497+V501+V504</f>
        <v>449049</v>
      </c>
      <c r="W506" s="22">
        <f>W497+W501+W504</f>
        <v>15706675</v>
      </c>
      <c r="X506" s="124">
        <f>IF(U506=0," ",(W506-U506)/U506)</f>
        <v>2.9431118576376168E-2</v>
      </c>
      <c r="Z506" s="22">
        <f>Z497+Z501+Z504</f>
        <v>16149923</v>
      </c>
      <c r="AA506" s="22">
        <f>AA497+AA501+AA504</f>
        <v>15947585</v>
      </c>
      <c r="AC506" s="136"/>
      <c r="AE506" s="22">
        <f>AE497+AE501+AE504</f>
        <v>15947585</v>
      </c>
      <c r="AF506" s="199">
        <f>AF497+AF501+AF504</f>
        <v>15825378.890000001</v>
      </c>
      <c r="AH506" s="22">
        <v>15947585</v>
      </c>
      <c r="AI506" s="22">
        <f>AI497+AI501+AI504</f>
        <v>218996</v>
      </c>
      <c r="AJ506" s="22">
        <f>AJ497+AJ501+AJ504</f>
        <v>16166581</v>
      </c>
      <c r="AK506" s="124">
        <f>IF(AH506=0," ",(AJ506-AH506)/AH506)</f>
        <v>1.3732235946696631E-2</v>
      </c>
      <c r="AM506" s="22">
        <f>AM497+AM501+AM504</f>
        <v>16316545</v>
      </c>
      <c r="AN506" s="22">
        <f>AN497+AN501+AN504</f>
        <v>16316545</v>
      </c>
      <c r="AP506" s="136"/>
      <c r="AR506" s="22">
        <f>AR497+AR501+AR504</f>
        <v>16909613</v>
      </c>
      <c r="AS506" s="22">
        <f>AS497+AS501+AS504</f>
        <v>16691113.870000001</v>
      </c>
      <c r="AU506" s="22">
        <f>AU497+AU501+AU504</f>
        <v>16909613</v>
      </c>
      <c r="AV506" s="22">
        <f>AV497+AV501+AV504</f>
        <v>507290</v>
      </c>
      <c r="AW506" s="22">
        <f>AW497+AW501+AW504</f>
        <v>17416903</v>
      </c>
      <c r="AX506" s="124">
        <f>IF(AU506=0," ",(AW506-AU506)/AU506)</f>
        <v>3.0000095212113963E-2</v>
      </c>
      <c r="AZ506" s="22">
        <f>AZ497+AZ501+AZ504</f>
        <v>17416903</v>
      </c>
      <c r="BA506" s="22">
        <f>BA497+BA501+BA504</f>
        <v>17113064.309999999</v>
      </c>
      <c r="BC506" s="136"/>
      <c r="BE506" s="22">
        <f>BE497+BE501+BE504</f>
        <v>17308242</v>
      </c>
      <c r="BF506" s="22">
        <f>BF497+BF501+BF504</f>
        <v>17201091.18</v>
      </c>
      <c r="BH506" s="22">
        <f>BH497+BH501+BH504</f>
        <v>17308242</v>
      </c>
      <c r="BI506" s="22">
        <f>BI497+BI501+BI504</f>
        <v>494047</v>
      </c>
      <c r="BJ506" s="22">
        <f>BJ497+BJ501+BJ504</f>
        <v>17802289</v>
      </c>
      <c r="BK506" s="124">
        <f>IF(BH506=0," ",(BJ506-BH506)/BH506)</f>
        <v>2.854403121934625E-2</v>
      </c>
      <c r="BM506" s="22">
        <f>BM497+BM501+BM504</f>
        <v>18291633</v>
      </c>
      <c r="BN506" s="22">
        <f>BN497+BN501+BN504</f>
        <v>18264847</v>
      </c>
      <c r="BP506" s="136"/>
      <c r="BR506" s="22">
        <f>BR497+BR501+BR504</f>
        <v>18264847</v>
      </c>
      <c r="BS506" s="22">
        <f>BS497+BS501+BS504</f>
        <v>8122393.7599999998</v>
      </c>
      <c r="BU506" s="22">
        <f>BU497+BU501+BU504</f>
        <v>18264847</v>
      </c>
      <c r="BV506" s="531">
        <f>BV497+BV501+BV504</f>
        <v>663991</v>
      </c>
      <c r="BW506" s="581">
        <f>BW497+BW501+BW504</f>
        <v>18928838</v>
      </c>
      <c r="BX506" s="582">
        <f>IF(BU506=0," ",(BW506-BU506)/BU506)</f>
        <v>3.6353493681058481E-2</v>
      </c>
      <c r="BY506" s="573"/>
      <c r="BZ506" s="581">
        <f>BZ497+BZ501+BZ504</f>
        <v>18928838</v>
      </c>
      <c r="CA506" s="581">
        <f>CA497+CA501+CA504</f>
        <v>18954938</v>
      </c>
      <c r="CB506" s="573"/>
      <c r="CC506" s="764"/>
      <c r="CD506" s="573"/>
      <c r="CE506" s="581">
        <f>CE497+CE501+CE504</f>
        <v>18954938</v>
      </c>
      <c r="CF506" s="581">
        <f>CF497+CF501+CF504</f>
        <v>0</v>
      </c>
      <c r="CH506" s="812"/>
      <c r="CI506" s="812"/>
      <c r="CJ506" s="886"/>
      <c r="CO506" s="16"/>
    </row>
    <row r="507" spans="1:95" ht="20.100000000000001" customHeight="1" x14ac:dyDescent="0.3">
      <c r="AS507" s="16"/>
      <c r="CO507" s="16"/>
    </row>
    <row r="508" spans="1:95" s="1" customFormat="1" ht="20.100000000000001" customHeight="1" x14ac:dyDescent="0.3">
      <c r="A508" s="58" t="s">
        <v>339</v>
      </c>
      <c r="B508" s="59"/>
      <c r="C508" s="60"/>
      <c r="D508" s="60"/>
      <c r="E508" s="61"/>
      <c r="F508" s="59"/>
      <c r="G508" s="59"/>
      <c r="H508" s="62">
        <f>SUM(H506)</f>
        <v>14818836</v>
      </c>
      <c r="I508" s="62">
        <f>SUM(I506)</f>
        <v>486160</v>
      </c>
      <c r="J508" s="62">
        <f>SUM(J506)</f>
        <v>15304996</v>
      </c>
      <c r="K508" s="120">
        <f>IF(H508=0," ",(J508-H508)/H508)</f>
        <v>3.2806895224429235E-2</v>
      </c>
      <c r="M508" s="62">
        <f>SUM(M506)</f>
        <v>15265579</v>
      </c>
      <c r="N508" s="62">
        <f>SUM(N506)</f>
        <v>15257626</v>
      </c>
      <c r="P508" s="132">
        <f>SUM(P506)</f>
        <v>0</v>
      </c>
      <c r="R508" s="62">
        <f>SUM(R506)</f>
        <v>15257626</v>
      </c>
      <c r="S508" s="62">
        <f>SUM(S506)</f>
        <v>15191922.74</v>
      </c>
      <c r="U508" s="62">
        <f>SUM(U506)</f>
        <v>15257626</v>
      </c>
      <c r="V508" s="62">
        <f>SUM(V506)</f>
        <v>449049</v>
      </c>
      <c r="W508" s="62">
        <f>SUM(W506)</f>
        <v>15706675</v>
      </c>
      <c r="X508" s="120">
        <f>IF(U508=0," ",(W508-U508)/U508)</f>
        <v>2.9431118576376168E-2</v>
      </c>
      <c r="Z508" s="62">
        <f>SUM(Z506)</f>
        <v>16149923</v>
      </c>
      <c r="AA508" s="62">
        <f>SUM(AA506)</f>
        <v>15947585</v>
      </c>
      <c r="AC508" s="132"/>
      <c r="AE508" s="62">
        <f>SUM(AE506)</f>
        <v>15947585</v>
      </c>
      <c r="AF508" s="195">
        <f>SUM(AF506)</f>
        <v>15825378.890000001</v>
      </c>
      <c r="AH508" s="62">
        <v>15947585</v>
      </c>
      <c r="AI508" s="62">
        <f>SUM(AI506)</f>
        <v>218996</v>
      </c>
      <c r="AJ508" s="62">
        <f>SUM(AJ506)</f>
        <v>16166581</v>
      </c>
      <c r="AK508" s="120">
        <f>IF(AH508=0," ",(AJ508-AH508)/AH508)</f>
        <v>1.3732235946696631E-2</v>
      </c>
      <c r="AM508" s="62">
        <f>SUM(AM506)</f>
        <v>16316545</v>
      </c>
      <c r="AN508" s="62">
        <f>SUM(AN506)</f>
        <v>16316545</v>
      </c>
      <c r="AP508" s="132"/>
      <c r="AR508" s="62">
        <f>SUM(AR506)</f>
        <v>16909613</v>
      </c>
      <c r="AS508" s="62">
        <f>SUM(AS506)</f>
        <v>16691113.870000001</v>
      </c>
      <c r="AU508" s="62">
        <f>SUM(AU506)</f>
        <v>16909613</v>
      </c>
      <c r="AV508" s="62">
        <f>SUM(AV506)</f>
        <v>507290</v>
      </c>
      <c r="AW508" s="62">
        <f>SUM(AW506)</f>
        <v>17416903</v>
      </c>
      <c r="AX508" s="120">
        <f>IF(AU508=0," ",(AW508-AU508)/AU508)</f>
        <v>3.0000095212113963E-2</v>
      </c>
      <c r="AZ508" s="62">
        <f>SUM(AZ506)</f>
        <v>17416903</v>
      </c>
      <c r="BA508" s="62">
        <f>SUM(BA506)</f>
        <v>17113064.309999999</v>
      </c>
      <c r="BC508" s="132"/>
      <c r="BE508" s="62">
        <f>SUM(BE506)</f>
        <v>17308242</v>
      </c>
      <c r="BF508" s="62">
        <f>SUM(BF506)</f>
        <v>17201091.18</v>
      </c>
      <c r="BH508" s="62">
        <f>SUM(BH506)</f>
        <v>17308242</v>
      </c>
      <c r="BI508" s="62">
        <f>SUM(BI506)</f>
        <v>494047</v>
      </c>
      <c r="BJ508" s="62">
        <f>SUM(BJ506)</f>
        <v>17802289</v>
      </c>
      <c r="BK508" s="120">
        <f>IF(BH508=0," ",(BJ508-BH508)/BH508)</f>
        <v>2.854403121934625E-2</v>
      </c>
      <c r="BM508" s="62">
        <f>SUM(BM506)</f>
        <v>18291633</v>
      </c>
      <c r="BN508" s="62">
        <f>SUM(BN506)</f>
        <v>18264847</v>
      </c>
      <c r="BP508" s="398"/>
      <c r="BR508" s="62">
        <f>SUM(BR506)</f>
        <v>18264847</v>
      </c>
      <c r="BS508" s="62">
        <f>SUM(BS506)</f>
        <v>8122393.7599999998</v>
      </c>
      <c r="BU508" s="62">
        <f>SUM(BU506)</f>
        <v>18264847</v>
      </c>
      <c r="BV508" s="62">
        <f>SUM(BV506)</f>
        <v>663991</v>
      </c>
      <c r="BW508" s="62">
        <f>SUM(BW506)</f>
        <v>18928838</v>
      </c>
      <c r="BX508" s="120">
        <f>IF(BU508=0," ",(BW508-BU508)/BU508)</f>
        <v>3.6353493681058481E-2</v>
      </c>
      <c r="BY508" s="573"/>
      <c r="BZ508" s="62">
        <f>SUM(BZ506)</f>
        <v>18928838</v>
      </c>
      <c r="CA508" s="62">
        <f>SUM(CA506)</f>
        <v>18954938</v>
      </c>
      <c r="CB508" s="573"/>
      <c r="CC508" s="760"/>
      <c r="CD508" s="573"/>
      <c r="CE508" s="62">
        <f>SUM(CE506)</f>
        <v>18954938</v>
      </c>
      <c r="CF508" s="62">
        <f>SUM(CF506)</f>
        <v>0</v>
      </c>
      <c r="CH508" s="812"/>
      <c r="CI508" s="812"/>
      <c r="CJ508" s="886"/>
      <c r="CO508" s="16"/>
    </row>
    <row r="509" spans="1:95" s="1" customFormat="1" ht="20.100000000000001" customHeight="1" x14ac:dyDescent="0.3">
      <c r="A509" s="33"/>
      <c r="B509" s="10"/>
      <c r="C509" s="44"/>
      <c r="D509" s="44"/>
      <c r="E509" s="55"/>
      <c r="F509" s="10"/>
      <c r="G509" s="10"/>
      <c r="H509" s="34"/>
      <c r="I509" s="34"/>
      <c r="J509" s="34"/>
      <c r="K509" s="129"/>
      <c r="M509" s="34"/>
      <c r="N509" s="34"/>
      <c r="P509" s="142"/>
      <c r="R509" s="34"/>
      <c r="S509" s="34"/>
      <c r="U509" s="34"/>
      <c r="V509" s="34"/>
      <c r="W509" s="34"/>
      <c r="X509" s="129"/>
      <c r="Z509" s="34"/>
      <c r="AA509" s="34"/>
      <c r="AC509" s="142"/>
      <c r="AE509" s="34"/>
      <c r="AF509" s="203"/>
      <c r="AH509" s="34"/>
      <c r="AI509" s="34"/>
      <c r="AJ509" s="34"/>
      <c r="AK509" s="129"/>
      <c r="AM509" s="34"/>
      <c r="AN509" s="34"/>
      <c r="AP509" s="142"/>
      <c r="AR509" s="34"/>
      <c r="AS509" s="34"/>
      <c r="AU509" s="34"/>
      <c r="AV509" s="34"/>
      <c r="AW509" s="34"/>
      <c r="AX509" s="129"/>
      <c r="AZ509" s="34"/>
      <c r="BA509" s="34"/>
      <c r="BC509" s="142"/>
      <c r="BE509" s="34"/>
      <c r="BF509" s="34"/>
      <c r="BH509" s="34"/>
      <c r="BI509" s="34"/>
      <c r="BJ509" s="34"/>
      <c r="BK509" s="129"/>
      <c r="BM509" s="34"/>
      <c r="BN509" s="34"/>
      <c r="BP509" s="140"/>
      <c r="BR509" s="34"/>
      <c r="BS509" s="34"/>
      <c r="BU509" s="34"/>
      <c r="BV509" s="534"/>
      <c r="BW509" s="305"/>
      <c r="BX509" s="593"/>
      <c r="BY509" s="573"/>
      <c r="BZ509" s="305"/>
      <c r="CA509" s="305"/>
      <c r="CB509" s="573"/>
      <c r="CC509" s="752"/>
      <c r="CD509" s="573"/>
      <c r="CE509" s="305"/>
      <c r="CF509" s="305"/>
      <c r="CH509" s="812"/>
      <c r="CI509" s="812"/>
      <c r="CJ509" s="886"/>
      <c r="CO509" s="16"/>
    </row>
    <row r="510" spans="1:95" s="1" customFormat="1" ht="20.100000000000001" customHeight="1" x14ac:dyDescent="0.3">
      <c r="A510" s="33"/>
      <c r="B510" s="10"/>
      <c r="C510" s="44"/>
      <c r="D510" s="44"/>
      <c r="E510" s="55"/>
      <c r="F510" s="10"/>
      <c r="G510" s="10"/>
      <c r="H510" s="34"/>
      <c r="I510" s="34"/>
      <c r="J510" s="34"/>
      <c r="K510" s="129"/>
      <c r="M510" s="34"/>
      <c r="N510" s="34"/>
      <c r="P510" s="142"/>
      <c r="R510" s="34"/>
      <c r="S510" s="34"/>
      <c r="U510" s="34"/>
      <c r="V510" s="34"/>
      <c r="W510" s="34"/>
      <c r="X510" s="129"/>
      <c r="Z510" s="34"/>
      <c r="AA510" s="34"/>
      <c r="AC510" s="142"/>
      <c r="AE510" s="34"/>
      <c r="AF510" s="203"/>
      <c r="AH510" s="34"/>
      <c r="AI510" s="34"/>
      <c r="AJ510" s="34"/>
      <c r="AK510" s="129"/>
      <c r="AM510" s="34"/>
      <c r="AN510" s="34"/>
      <c r="AP510" s="142"/>
      <c r="AR510" s="34"/>
      <c r="AS510" s="34"/>
      <c r="AU510" s="34"/>
      <c r="AV510" s="34"/>
      <c r="AW510" s="34"/>
      <c r="AX510" s="129"/>
      <c r="AZ510" s="34"/>
      <c r="BA510" s="34"/>
      <c r="BC510" s="142"/>
      <c r="BE510" s="34"/>
      <c r="BF510" s="34"/>
      <c r="BH510" s="34"/>
      <c r="BI510" s="34"/>
      <c r="BJ510" s="34"/>
      <c r="BK510" s="129"/>
      <c r="BM510" s="34"/>
      <c r="BN510" s="34"/>
      <c r="BP510" s="140"/>
      <c r="BR510" s="34"/>
      <c r="BS510" s="34"/>
      <c r="BU510" s="34"/>
      <c r="BV510" s="534"/>
      <c r="BW510" s="305"/>
      <c r="BX510" s="593"/>
      <c r="BY510" s="573"/>
      <c r="BZ510" s="305"/>
      <c r="CA510" s="305"/>
      <c r="CB510" s="573"/>
      <c r="CC510" s="752"/>
      <c r="CD510" s="573"/>
      <c r="CE510" s="305"/>
      <c r="CF510" s="305"/>
      <c r="CH510" s="812"/>
      <c r="CI510" s="812"/>
      <c r="CJ510" s="886"/>
      <c r="CO510" s="16"/>
    </row>
    <row r="511" spans="1:95" s="1" customFormat="1" ht="20.100000000000001" customHeight="1" x14ac:dyDescent="0.3">
      <c r="A511" s="63" t="s">
        <v>342</v>
      </c>
      <c r="B511" s="59"/>
      <c r="C511" s="60"/>
      <c r="D511" s="60"/>
      <c r="E511" s="61"/>
      <c r="F511" s="59"/>
      <c r="G511" s="59"/>
      <c r="H511" s="62"/>
      <c r="I511" s="62"/>
      <c r="J511" s="62"/>
      <c r="K511" s="120"/>
      <c r="M511" s="62"/>
      <c r="N511" s="62"/>
      <c r="P511" s="132"/>
      <c r="R511" s="62"/>
      <c r="S511" s="62"/>
      <c r="U511" s="62"/>
      <c r="V511" s="62"/>
      <c r="W511" s="62"/>
      <c r="X511" s="120"/>
      <c r="Z511" s="62"/>
      <c r="AA511" s="62"/>
      <c r="AC511" s="132"/>
      <c r="AE511" s="62"/>
      <c r="AF511" s="195"/>
      <c r="AH511" s="62"/>
      <c r="AI511" s="62"/>
      <c r="AJ511" s="62"/>
      <c r="AK511" s="120"/>
      <c r="AM511" s="62"/>
      <c r="AN511" s="62"/>
      <c r="AP511" s="132"/>
      <c r="AR511" s="62"/>
      <c r="AS511" s="62"/>
      <c r="AU511" s="62"/>
      <c r="AV511" s="62"/>
      <c r="AW511" s="62"/>
      <c r="AX511" s="120"/>
      <c r="AZ511" s="62"/>
      <c r="BA511" s="62"/>
      <c r="BC511" s="132"/>
      <c r="BE511" s="62"/>
      <c r="BF511" s="62"/>
      <c r="BH511" s="62"/>
      <c r="BI511" s="62"/>
      <c r="BJ511" s="62"/>
      <c r="BK511" s="120"/>
      <c r="BM511" s="62"/>
      <c r="BN511" s="62"/>
      <c r="BP511" s="398"/>
      <c r="BR511" s="62"/>
      <c r="BS511" s="62"/>
      <c r="BU511" s="62"/>
      <c r="BV511" s="528"/>
      <c r="BW511" s="571"/>
      <c r="BX511" s="572"/>
      <c r="BY511" s="573"/>
      <c r="BZ511" s="571"/>
      <c r="CA511" s="571"/>
      <c r="CB511" s="573"/>
      <c r="CC511" s="760"/>
      <c r="CD511" s="573"/>
      <c r="CE511" s="571"/>
      <c r="CF511" s="571"/>
      <c r="CH511" s="812"/>
      <c r="CI511" s="812"/>
      <c r="CJ511" s="886"/>
      <c r="CO511" s="16"/>
    </row>
    <row r="512" spans="1:95" s="1" customFormat="1" ht="15.6" x14ac:dyDescent="0.3">
      <c r="A512" s="14" t="s">
        <v>616</v>
      </c>
      <c r="B512" s="2"/>
      <c r="C512" s="36"/>
      <c r="D512" s="36"/>
      <c r="E512" s="48"/>
      <c r="F512" s="2"/>
      <c r="G512" s="2"/>
      <c r="H512" s="15"/>
      <c r="I512" s="15"/>
      <c r="J512" s="15"/>
      <c r="K512" s="121"/>
      <c r="M512" s="15"/>
      <c r="N512" s="15"/>
      <c r="P512" s="133"/>
      <c r="R512" s="15"/>
      <c r="S512" s="15"/>
      <c r="U512" s="15"/>
      <c r="V512" s="15"/>
      <c r="W512" s="15"/>
      <c r="X512" s="121"/>
      <c r="Z512" s="15"/>
      <c r="AA512" s="15"/>
      <c r="AC512" s="133"/>
      <c r="AE512" s="15"/>
      <c r="AF512" s="196"/>
      <c r="AH512" s="15"/>
      <c r="AI512" s="15"/>
      <c r="AJ512" s="15"/>
      <c r="AK512" s="121"/>
      <c r="AM512" s="15"/>
      <c r="AN512" s="15"/>
      <c r="AP512" s="133"/>
      <c r="AR512" s="15"/>
      <c r="AS512" s="15"/>
      <c r="AU512" s="15"/>
      <c r="AV512" s="15"/>
      <c r="AW512" s="15"/>
      <c r="AX512" s="121"/>
      <c r="AZ512" s="15"/>
      <c r="BA512" s="15"/>
      <c r="BC512" s="133"/>
      <c r="BE512" s="15"/>
      <c r="BF512" s="15"/>
      <c r="BH512" s="15"/>
      <c r="BI512" s="15"/>
      <c r="BJ512" s="15"/>
      <c r="BK512" s="121"/>
      <c r="BM512" s="15"/>
      <c r="BN512" s="15"/>
      <c r="BP512" s="234"/>
      <c r="BR512" s="15"/>
      <c r="BS512" s="15"/>
      <c r="BU512" s="15"/>
      <c r="BV512" s="529"/>
      <c r="BW512" s="574"/>
      <c r="BX512" s="575"/>
      <c r="BY512" s="573"/>
      <c r="BZ512" s="574"/>
      <c r="CA512" s="574"/>
      <c r="CB512" s="573"/>
      <c r="CC512" s="761"/>
      <c r="CD512" s="573"/>
      <c r="CE512" s="574"/>
      <c r="CF512" s="574"/>
      <c r="CH512" s="812"/>
      <c r="CI512" s="812"/>
      <c r="CJ512" s="886"/>
      <c r="CO512" s="16"/>
    </row>
    <row r="513" spans="1:93" x14ac:dyDescent="0.3">
      <c r="A513" s="11">
        <v>411</v>
      </c>
      <c r="B513" s="3" t="s">
        <v>2</v>
      </c>
      <c r="C513" s="37">
        <v>41102</v>
      </c>
      <c r="E513" s="49" t="s">
        <v>11</v>
      </c>
      <c r="F513" s="3" t="s">
        <v>2</v>
      </c>
      <c r="G513" s="3" t="s">
        <v>624</v>
      </c>
      <c r="H513" s="26"/>
      <c r="I513" s="244"/>
      <c r="J513" s="16">
        <f>H513+I513</f>
        <v>0</v>
      </c>
      <c r="K513" s="122" t="str">
        <f>IF(H513=0," ",(J513-H513)/H513)</f>
        <v xml:space="preserve"> </v>
      </c>
      <c r="M513" s="117">
        <v>5306</v>
      </c>
      <c r="N513" s="117">
        <v>5306</v>
      </c>
      <c r="P513" s="259" t="s">
        <v>551</v>
      </c>
      <c r="R513" s="26">
        <v>5306</v>
      </c>
      <c r="S513" s="26">
        <v>5306</v>
      </c>
      <c r="U513" s="26">
        <v>5306</v>
      </c>
      <c r="V513" s="244">
        <v>0</v>
      </c>
      <c r="W513" s="16">
        <f>U513+V513</f>
        <v>5306</v>
      </c>
      <c r="X513" s="122">
        <f>IF(U513=0," ",(W513-U513)/U513)</f>
        <v>0</v>
      </c>
      <c r="Z513" s="117">
        <f>W513</f>
        <v>5306</v>
      </c>
      <c r="AA513" s="117">
        <v>5306</v>
      </c>
      <c r="AC513" s="259"/>
      <c r="AE513" s="26">
        <v>5306</v>
      </c>
      <c r="AF513" s="200">
        <v>5306</v>
      </c>
      <c r="AH513" s="26">
        <v>5306</v>
      </c>
      <c r="AI513" s="244">
        <v>107</v>
      </c>
      <c r="AJ513" s="16">
        <f>AH513+AI513</f>
        <v>5413</v>
      </c>
      <c r="AK513" s="122">
        <f>IF(AH513=0," ",(AJ513-AH513)/AH513)</f>
        <v>2.0165849981153412E-2</v>
      </c>
      <c r="AM513" s="117">
        <v>5413</v>
      </c>
      <c r="AN513" s="117">
        <v>5413</v>
      </c>
      <c r="AP513" s="259" t="s">
        <v>813</v>
      </c>
      <c r="AR513" s="26">
        <v>5413</v>
      </c>
      <c r="AS513" s="26">
        <v>5412.96</v>
      </c>
      <c r="AU513" s="26">
        <f>AR513</f>
        <v>5413</v>
      </c>
      <c r="AV513" s="244"/>
      <c r="AW513" s="16">
        <f>AU513+AV513</f>
        <v>5413</v>
      </c>
      <c r="AX513" s="122">
        <f>IF(AU513=0," ",(AW513-AU513)/AU513)</f>
        <v>0</v>
      </c>
      <c r="AZ513" s="117">
        <v>5413</v>
      </c>
      <c r="BA513" s="117">
        <v>5412.96</v>
      </c>
      <c r="BC513" s="259"/>
      <c r="BE513" s="26">
        <v>5413</v>
      </c>
      <c r="BF513" s="26">
        <v>5413</v>
      </c>
      <c r="BH513" s="26">
        <v>5413</v>
      </c>
      <c r="BI513" s="244"/>
      <c r="BJ513" s="16">
        <f>BH513+BI513</f>
        <v>5413</v>
      </c>
      <c r="BK513" s="122">
        <f>IF(BH513=0," ",(BJ513-BH513)/BH513)</f>
        <v>0</v>
      </c>
      <c r="BM513" s="117">
        <v>5413</v>
      </c>
      <c r="BN513" s="117">
        <v>5413</v>
      </c>
      <c r="BP513" s="259"/>
      <c r="BR513" s="117">
        <v>5413</v>
      </c>
      <c r="BS513" s="26">
        <v>2706.48</v>
      </c>
      <c r="BU513" s="26">
        <v>5413</v>
      </c>
      <c r="BV513" s="244"/>
      <c r="BW513" s="576">
        <f>BU513+BV513</f>
        <v>5413</v>
      </c>
      <c r="BX513" s="577">
        <f>IF(BU513=0," ",(BW513-BU513)/BU513)</f>
        <v>0</v>
      </c>
      <c r="BZ513" s="166">
        <v>5413</v>
      </c>
      <c r="CA513" s="166">
        <v>5413</v>
      </c>
      <c r="CC513" s="753"/>
      <c r="CE513" s="166">
        <v>5413</v>
      </c>
      <c r="CF513" s="166"/>
      <c r="CJ513" s="886"/>
      <c r="CO513" s="16"/>
    </row>
    <row r="514" spans="1:93" s="19" customFormat="1" x14ac:dyDescent="0.3">
      <c r="A514" s="27"/>
      <c r="B514" s="8"/>
      <c r="C514" s="42"/>
      <c r="D514" s="42"/>
      <c r="E514" s="54"/>
      <c r="F514" s="8"/>
      <c r="G514" s="57" t="s">
        <v>618</v>
      </c>
      <c r="H514" s="28">
        <f>SUM(H513:H513)</f>
        <v>0</v>
      </c>
      <c r="I514" s="28">
        <f>SUM(I513:I513)</f>
        <v>0</v>
      </c>
      <c r="J514" s="28">
        <f>SUM(J513:J513)</f>
        <v>0</v>
      </c>
      <c r="K514" s="123" t="str">
        <f>IF(H514=0," ",(J514-H514)/H514)</f>
        <v xml:space="preserve"> </v>
      </c>
      <c r="M514" s="28">
        <f>SUM(M513:M513)</f>
        <v>5306</v>
      </c>
      <c r="N514" s="28">
        <f>SUM(N513:N513)</f>
        <v>5306</v>
      </c>
      <c r="P514" s="139">
        <f>SUM(P513:P513)</f>
        <v>0</v>
      </c>
      <c r="R514" s="28">
        <f>SUM(R513:R513)</f>
        <v>5306</v>
      </c>
      <c r="S514" s="28">
        <f>SUM(S513:S513)</f>
        <v>5306</v>
      </c>
      <c r="U514" s="28">
        <f>SUM(U513:U513)</f>
        <v>5306</v>
      </c>
      <c r="V514" s="28">
        <f>SUM(V513:V513)</f>
        <v>0</v>
      </c>
      <c r="W514" s="28">
        <f>SUM(W513:W513)</f>
        <v>5306</v>
      </c>
      <c r="X514" s="123">
        <f>IF(U514=0," ",(W514-U514)/U514)</f>
        <v>0</v>
      </c>
      <c r="Z514" s="28">
        <f>SUM(Z513:Z513)</f>
        <v>5306</v>
      </c>
      <c r="AA514" s="28">
        <f>SUM(AA513:AA513)</f>
        <v>5306</v>
      </c>
      <c r="AC514" s="139"/>
      <c r="AE514" s="28">
        <f>SUM(AE513:AE513)</f>
        <v>5306</v>
      </c>
      <c r="AF514" s="201">
        <f>SUM(AF513:AF513)</f>
        <v>5306</v>
      </c>
      <c r="AH514" s="28">
        <v>5306</v>
      </c>
      <c r="AI514" s="28">
        <f>SUM(AI513:AI513)</f>
        <v>107</v>
      </c>
      <c r="AJ514" s="28">
        <f>SUM(AJ513:AJ513)</f>
        <v>5413</v>
      </c>
      <c r="AK514" s="123">
        <f>IF(AH514=0," ",(AJ514-AH514)/AH514)</f>
        <v>2.0165849981153412E-2</v>
      </c>
      <c r="AM514" s="28">
        <f>SUM(AM513:AM513)</f>
        <v>5413</v>
      </c>
      <c r="AN514" s="28">
        <f>SUM(AN513:AN513)</f>
        <v>5413</v>
      </c>
      <c r="AP514" s="139"/>
      <c r="AR514" s="28">
        <f>SUM(AR513:AR513)</f>
        <v>5413</v>
      </c>
      <c r="AS514" s="28">
        <f>SUM(AS513:AS513)</f>
        <v>5412.96</v>
      </c>
      <c r="AU514" s="28">
        <f>SUM(AU513:AU513)</f>
        <v>5413</v>
      </c>
      <c r="AV514" s="28">
        <f>SUM(AV513:AV513)</f>
        <v>0</v>
      </c>
      <c r="AW514" s="28">
        <f>SUM(AW513:AW513)</f>
        <v>5413</v>
      </c>
      <c r="AX514" s="123">
        <f>IF(AU514=0," ",(AW514-AU514)/AU514)</f>
        <v>0</v>
      </c>
      <c r="AZ514" s="28">
        <f>SUM(AZ513:AZ513)</f>
        <v>5413</v>
      </c>
      <c r="BA514" s="28">
        <f>SUM(BA513:BA513)</f>
        <v>5412.96</v>
      </c>
      <c r="BC514" s="139"/>
      <c r="BE514" s="28">
        <f>SUM(BE513:BE513)</f>
        <v>5413</v>
      </c>
      <c r="BF514" s="28">
        <f>SUM(BF513:BF513)</f>
        <v>5413</v>
      </c>
      <c r="BG514" s="9"/>
      <c r="BH514" s="28">
        <f>SUM(BH513:BH513)</f>
        <v>5413</v>
      </c>
      <c r="BI514" s="28">
        <f>SUM(BI513:BI513)</f>
        <v>0</v>
      </c>
      <c r="BJ514" s="28">
        <f>SUM(BJ513:BJ513)</f>
        <v>5413</v>
      </c>
      <c r="BK514" s="123">
        <f>IF(BH514=0," ",(BJ514-BH514)/BH514)</f>
        <v>0</v>
      </c>
      <c r="BM514" s="28">
        <f>SUM(BM513:BM513)</f>
        <v>5413</v>
      </c>
      <c r="BN514" s="28">
        <f>SUM(BN513:BN513)</f>
        <v>5413</v>
      </c>
      <c r="BP514" s="139"/>
      <c r="BR514" s="28">
        <f>SUM(BR513:BR513)</f>
        <v>5413</v>
      </c>
      <c r="BS514" s="28">
        <f>SUM(BS513:BS513)</f>
        <v>2706.48</v>
      </c>
      <c r="BT514" s="9"/>
      <c r="BU514" s="28">
        <f>SUM(BU513:BU513)</f>
        <v>5413</v>
      </c>
      <c r="BV514" s="532">
        <f>SUM(BV513:BV513)</f>
        <v>0</v>
      </c>
      <c r="BW514" s="591">
        <f>SUM(BW513:BW513)</f>
        <v>5413</v>
      </c>
      <c r="BX514" s="579">
        <f>IF(BU514=0," ",(BW514-BU514)/BU514)</f>
        <v>0</v>
      </c>
      <c r="BY514" s="580"/>
      <c r="BZ514" s="591">
        <f>SUM(BZ513:BZ513)</f>
        <v>5413</v>
      </c>
      <c r="CA514" s="591">
        <f>SUM(CA513:CA513)</f>
        <v>5413</v>
      </c>
      <c r="CB514" s="580"/>
      <c r="CC514" s="769"/>
      <c r="CD514" s="580"/>
      <c r="CE514" s="591">
        <f>SUM(CE513:CE513)</f>
        <v>5413</v>
      </c>
      <c r="CF514" s="591">
        <f>SUM(CF513:CF513)</f>
        <v>0</v>
      </c>
      <c r="CG514" s="9"/>
      <c r="CH514" s="815"/>
      <c r="CI514" s="815"/>
      <c r="CJ514" s="886"/>
      <c r="CO514" s="16"/>
    </row>
    <row r="515" spans="1:93" x14ac:dyDescent="0.3">
      <c r="H515" s="26"/>
      <c r="AS515" s="16"/>
      <c r="CJ515" s="886"/>
      <c r="CO515" s="16"/>
    </row>
    <row r="516" spans="1:93" x14ac:dyDescent="0.3">
      <c r="A516" s="11">
        <v>411</v>
      </c>
      <c r="B516" s="3" t="s">
        <v>2</v>
      </c>
      <c r="C516" s="37">
        <v>41105</v>
      </c>
      <c r="E516" s="49" t="s">
        <v>118</v>
      </c>
      <c r="F516" s="3" t="s">
        <v>2</v>
      </c>
      <c r="G516" s="3" t="s">
        <v>620</v>
      </c>
      <c r="H516" s="26"/>
      <c r="I516" s="244"/>
      <c r="J516" s="16">
        <f>H516+I516</f>
        <v>0</v>
      </c>
      <c r="K516" s="122" t="str">
        <f>IF(H516=0," ",(J516-H516)/H516)</f>
        <v xml:space="preserve"> </v>
      </c>
      <c r="M516" s="117">
        <v>10000</v>
      </c>
      <c r="N516" s="117">
        <v>10000</v>
      </c>
      <c r="P516" s="259"/>
      <c r="R516" s="26">
        <v>10000</v>
      </c>
      <c r="S516" s="26">
        <v>0</v>
      </c>
      <c r="U516" s="26">
        <v>10000</v>
      </c>
      <c r="V516" s="244">
        <v>0</v>
      </c>
      <c r="W516" s="16">
        <f>U516+V516</f>
        <v>10000</v>
      </c>
      <c r="X516" s="122">
        <f>IF(U516=0," ",(W516-U516)/U516)</f>
        <v>0</v>
      </c>
      <c r="Z516" s="117">
        <f>W516</f>
        <v>10000</v>
      </c>
      <c r="AA516" s="117">
        <v>10000</v>
      </c>
      <c r="AC516" s="259"/>
      <c r="AE516" s="26">
        <v>10000</v>
      </c>
      <c r="AF516" s="200">
        <v>2627.5</v>
      </c>
      <c r="AH516" s="26">
        <v>10000</v>
      </c>
      <c r="AI516" s="244"/>
      <c r="AJ516" s="16">
        <f>AH516+AI516</f>
        <v>10000</v>
      </c>
      <c r="AK516" s="122">
        <f>IF(AH516=0," ",(AJ516-AH516)/AH516)</f>
        <v>0</v>
      </c>
      <c r="AM516" s="117">
        <v>10000</v>
      </c>
      <c r="AN516" s="117">
        <v>10000</v>
      </c>
      <c r="AP516" s="259"/>
      <c r="AR516" s="26">
        <v>10000</v>
      </c>
      <c r="AS516" s="26">
        <v>3669.95</v>
      </c>
      <c r="AU516" s="26">
        <f>AR516</f>
        <v>10000</v>
      </c>
      <c r="AV516" s="244"/>
      <c r="AW516" s="16">
        <f>AU516+AV516</f>
        <v>10000</v>
      </c>
      <c r="AX516" s="122">
        <f>IF(AU516=0," ",(AW516-AU516)/AU516)</f>
        <v>0</v>
      </c>
      <c r="AZ516" s="117">
        <v>10000</v>
      </c>
      <c r="BA516" s="117">
        <v>3669.95</v>
      </c>
      <c r="BC516" s="259"/>
      <c r="BE516" s="26">
        <v>10000</v>
      </c>
      <c r="BF516" s="26">
        <v>5921.95</v>
      </c>
      <c r="BH516" s="26">
        <v>10000</v>
      </c>
      <c r="BI516" s="244"/>
      <c r="BJ516" s="16">
        <f>BH516+BI516</f>
        <v>10000</v>
      </c>
      <c r="BK516" s="122">
        <f>IF(BH516=0," ",(BJ516-BH516)/BH516)</f>
        <v>0</v>
      </c>
      <c r="BM516" s="117">
        <v>10000</v>
      </c>
      <c r="BN516" s="117">
        <v>10000</v>
      </c>
      <c r="BP516" s="259"/>
      <c r="BR516" s="117">
        <v>10000</v>
      </c>
      <c r="BS516" s="26">
        <v>1267.5</v>
      </c>
      <c r="BU516" s="26">
        <v>10000</v>
      </c>
      <c r="BV516" s="244"/>
      <c r="BW516" s="576">
        <f>BU516+BV516</f>
        <v>10000</v>
      </c>
      <c r="BX516" s="577">
        <f>IF(BU516=0," ",(BW516-BU516)/BU516)</f>
        <v>0</v>
      </c>
      <c r="BZ516" s="166">
        <v>10000</v>
      </c>
      <c r="CA516" s="166">
        <v>10000</v>
      </c>
      <c r="CC516" s="430" t="s">
        <v>1603</v>
      </c>
      <c r="CE516" s="166">
        <v>10000</v>
      </c>
      <c r="CF516" s="166"/>
      <c r="CJ516" s="886"/>
      <c r="CO516" s="16"/>
    </row>
    <row r="517" spans="1:93" s="19" customFormat="1" x14ac:dyDescent="0.3">
      <c r="A517" s="27"/>
      <c r="B517" s="8"/>
      <c r="C517" s="42"/>
      <c r="D517" s="42"/>
      <c r="E517" s="54"/>
      <c r="F517" s="8"/>
      <c r="G517" s="57" t="s">
        <v>617</v>
      </c>
      <c r="H517" s="28">
        <f>SUM(H516:H516)</f>
        <v>0</v>
      </c>
      <c r="I517" s="28">
        <f>SUM(I516:I516)</f>
        <v>0</v>
      </c>
      <c r="J517" s="28">
        <f>SUM(J516:J516)</f>
        <v>0</v>
      </c>
      <c r="K517" s="123" t="str">
        <f>IF(H517=0," ",(J517-H517)/H517)</f>
        <v xml:space="preserve"> </v>
      </c>
      <c r="M517" s="28">
        <f>SUM(M516:M516)</f>
        <v>10000</v>
      </c>
      <c r="N517" s="28">
        <f>SUM(N516:N516)</f>
        <v>10000</v>
      </c>
      <c r="P517" s="139">
        <f>SUM(P516:P516)</f>
        <v>0</v>
      </c>
      <c r="R517" s="28">
        <f>SUM(R516:R516)</f>
        <v>10000</v>
      </c>
      <c r="S517" s="28">
        <f>SUM(S516:S516)</f>
        <v>0</v>
      </c>
      <c r="U517" s="28">
        <f>SUM(U516:U516)</f>
        <v>10000</v>
      </c>
      <c r="V517" s="28">
        <f>SUM(V516:V516)</f>
        <v>0</v>
      </c>
      <c r="W517" s="28">
        <f>SUM(W516:W516)</f>
        <v>10000</v>
      </c>
      <c r="X517" s="123">
        <f>IF(U517=0," ",(W517-U517)/U517)</f>
        <v>0</v>
      </c>
      <c r="Z517" s="28">
        <f>SUM(Z516:Z516)</f>
        <v>10000</v>
      </c>
      <c r="AA517" s="28">
        <f>SUM(AA516:AA516)</f>
        <v>10000</v>
      </c>
      <c r="AC517" s="139"/>
      <c r="AE517" s="28">
        <f>SUM(AE516:AE516)</f>
        <v>10000</v>
      </c>
      <c r="AF517" s="201">
        <f>SUM(AF516:AF516)</f>
        <v>2627.5</v>
      </c>
      <c r="AH517" s="28">
        <v>10000</v>
      </c>
      <c r="AI517" s="28">
        <f>SUM(AI516:AI516)</f>
        <v>0</v>
      </c>
      <c r="AJ517" s="28">
        <f>SUM(AJ516:AJ516)</f>
        <v>10000</v>
      </c>
      <c r="AK517" s="123">
        <f>IF(AH517=0," ",(AJ517-AH517)/AH517)</f>
        <v>0</v>
      </c>
      <c r="AM517" s="28">
        <f>SUM(AM516:AM516)</f>
        <v>10000</v>
      </c>
      <c r="AN517" s="28">
        <f>SUM(AN516:AN516)</f>
        <v>10000</v>
      </c>
      <c r="AP517" s="139"/>
      <c r="AR517" s="28">
        <f>SUM(AR516:AR516)</f>
        <v>10000</v>
      </c>
      <c r="AS517" s="28">
        <f>SUM(AS516:AS516)</f>
        <v>3669.95</v>
      </c>
      <c r="AU517" s="28">
        <f>SUM(AU516:AU516)</f>
        <v>10000</v>
      </c>
      <c r="AV517" s="28">
        <f>SUM(AV516:AV516)</f>
        <v>0</v>
      </c>
      <c r="AW517" s="28">
        <f>SUM(AW516:AW516)</f>
        <v>10000</v>
      </c>
      <c r="AX517" s="123">
        <f>IF(AU517=0," ",(AW517-AU517)/AU517)</f>
        <v>0</v>
      </c>
      <c r="AZ517" s="28">
        <f>SUM(AZ516:AZ516)</f>
        <v>10000</v>
      </c>
      <c r="BA517" s="28">
        <f>SUM(BA516:BA516)</f>
        <v>3669.95</v>
      </c>
      <c r="BC517" s="139"/>
      <c r="BE517" s="28">
        <f>SUM(BE516:BE516)</f>
        <v>10000</v>
      </c>
      <c r="BF517" s="28">
        <f>SUM(BF516:BF516)</f>
        <v>5921.95</v>
      </c>
      <c r="BG517" s="9"/>
      <c r="BH517" s="28">
        <f>SUM(BH516:BH516)</f>
        <v>10000</v>
      </c>
      <c r="BI517" s="28">
        <f>SUM(BI516:BI516)</f>
        <v>0</v>
      </c>
      <c r="BJ517" s="28">
        <f>SUM(BJ516:BJ516)</f>
        <v>10000</v>
      </c>
      <c r="BK517" s="123">
        <f>IF(BH517=0," ",(BJ517-BH517)/BH517)</f>
        <v>0</v>
      </c>
      <c r="BM517" s="28">
        <f>SUM(BM516:BM516)</f>
        <v>10000</v>
      </c>
      <c r="BN517" s="28">
        <f>SUM(BN516:BN516)</f>
        <v>10000</v>
      </c>
      <c r="BP517" s="139"/>
      <c r="BR517" s="28">
        <f>SUM(BR516:BR516)</f>
        <v>10000</v>
      </c>
      <c r="BS517" s="28">
        <f>SUM(BS516:BS516)</f>
        <v>1267.5</v>
      </c>
      <c r="BT517" s="9"/>
      <c r="BU517" s="28">
        <f>SUM(BU516:BU516)</f>
        <v>10000</v>
      </c>
      <c r="BV517" s="532">
        <f>SUM(BV516:BV516)</f>
        <v>0</v>
      </c>
      <c r="BW517" s="591">
        <f>SUM(BW516:BW516)</f>
        <v>10000</v>
      </c>
      <c r="BX517" s="579">
        <f>IF(BU517=0," ",(BW517-BU517)/BU517)</f>
        <v>0</v>
      </c>
      <c r="BY517" s="580"/>
      <c r="BZ517" s="591">
        <f>SUM(BZ516:BZ516)</f>
        <v>10000</v>
      </c>
      <c r="CA517" s="591">
        <f>SUM(CA516:CA516)</f>
        <v>10000</v>
      </c>
      <c r="CB517" s="580"/>
      <c r="CC517" s="769"/>
      <c r="CD517" s="580"/>
      <c r="CE517" s="591">
        <f>SUM(CE516:CE516)</f>
        <v>10000</v>
      </c>
      <c r="CF517" s="591">
        <f>SUM(CF516:CF516)</f>
        <v>0</v>
      </c>
      <c r="CG517" s="9"/>
      <c r="CH517" s="815"/>
      <c r="CI517" s="815"/>
      <c r="CJ517" s="886"/>
      <c r="CO517" s="16"/>
    </row>
    <row r="518" spans="1:93" ht="9.9" customHeight="1" x14ac:dyDescent="0.3">
      <c r="AS518" s="16"/>
      <c r="CJ518" s="886"/>
      <c r="CO518" s="16"/>
    </row>
    <row r="519" spans="1:93" s="1" customFormat="1" x14ac:dyDescent="0.3">
      <c r="A519" s="20"/>
      <c r="B519" s="5"/>
      <c r="C519" s="39"/>
      <c r="D519" s="39"/>
      <c r="E519" s="51"/>
      <c r="F519" s="5"/>
      <c r="G519" s="21" t="s">
        <v>619</v>
      </c>
      <c r="H519" s="22">
        <f>H514+H517</f>
        <v>0</v>
      </c>
      <c r="I519" s="22">
        <f>I514+I517</f>
        <v>0</v>
      </c>
      <c r="J519" s="22">
        <f>J514+J517</f>
        <v>0</v>
      </c>
      <c r="K519" s="124" t="str">
        <f>IF(H519=0," ",(J519-H519)/H519)</f>
        <v xml:space="preserve"> </v>
      </c>
      <c r="M519" s="22">
        <f>M514+M517</f>
        <v>15306</v>
      </c>
      <c r="N519" s="22">
        <f>N514+N517</f>
        <v>15306</v>
      </c>
      <c r="P519" s="136">
        <f>P514+P517</f>
        <v>0</v>
      </c>
      <c r="R519" s="22">
        <f>R514+R517</f>
        <v>15306</v>
      </c>
      <c r="S519" s="22">
        <f>S514+S517</f>
        <v>5306</v>
      </c>
      <c r="U519" s="22">
        <f>U514+U517</f>
        <v>15306</v>
      </c>
      <c r="V519" s="22">
        <f>V514+V517</f>
        <v>0</v>
      </c>
      <c r="W519" s="22">
        <f>W514+W517</f>
        <v>15306</v>
      </c>
      <c r="X519" s="124">
        <f>IF(U519=0," ",(W519-U519)/U519)</f>
        <v>0</v>
      </c>
      <c r="Z519" s="22">
        <f>Z514+Z517</f>
        <v>15306</v>
      </c>
      <c r="AA519" s="22">
        <f>AA514+AA517</f>
        <v>15306</v>
      </c>
      <c r="AC519" s="136"/>
      <c r="AE519" s="22">
        <f>AE514+AE517</f>
        <v>15306</v>
      </c>
      <c r="AF519" s="199">
        <f>AF514+AF517</f>
        <v>7933.5</v>
      </c>
      <c r="AH519" s="22">
        <v>15306</v>
      </c>
      <c r="AI519" s="22">
        <f>AI514+AI517</f>
        <v>107</v>
      </c>
      <c r="AJ519" s="22">
        <f>AJ514+AJ517</f>
        <v>15413</v>
      </c>
      <c r="AK519" s="124">
        <f>IF(AH519=0," ",(AJ519-AH519)/AH519)</f>
        <v>6.9907225924474067E-3</v>
      </c>
      <c r="AM519" s="22">
        <f>AM514+AM517</f>
        <v>15413</v>
      </c>
      <c r="AN519" s="22">
        <f>AN514+AN517</f>
        <v>15413</v>
      </c>
      <c r="AP519" s="136"/>
      <c r="AR519" s="22">
        <f>AR514+AR517</f>
        <v>15413</v>
      </c>
      <c r="AS519" s="22">
        <f>AS514+AS517</f>
        <v>9082.91</v>
      </c>
      <c r="AU519" s="22">
        <f>AU514+AU517</f>
        <v>15413</v>
      </c>
      <c r="AV519" s="22">
        <f>AV514+AV517</f>
        <v>0</v>
      </c>
      <c r="AW519" s="22">
        <f>AW514+AW517</f>
        <v>15413</v>
      </c>
      <c r="AX519" s="124">
        <f>IF(AU519=0," ",(AW519-AU519)/AU519)</f>
        <v>0</v>
      </c>
      <c r="AZ519" s="22">
        <f>AZ514+AZ517</f>
        <v>15413</v>
      </c>
      <c r="BA519" s="22">
        <f>BA514+BA517</f>
        <v>9082.91</v>
      </c>
      <c r="BC519" s="136"/>
      <c r="BE519" s="22">
        <f>BE514+BE517</f>
        <v>15413</v>
      </c>
      <c r="BF519" s="22">
        <f>BF514+BF517</f>
        <v>11334.95</v>
      </c>
      <c r="BH519" s="22">
        <f>BH514+BH517</f>
        <v>15413</v>
      </c>
      <c r="BI519" s="22">
        <f>BI514+BI517</f>
        <v>0</v>
      </c>
      <c r="BJ519" s="22">
        <f>BJ514+BJ517</f>
        <v>15413</v>
      </c>
      <c r="BK519" s="124">
        <f>IF(BH519=0," ",(BJ519-BH519)/BH519)</f>
        <v>0</v>
      </c>
      <c r="BM519" s="22">
        <f>BM514+BM517</f>
        <v>15413</v>
      </c>
      <c r="BN519" s="22">
        <f>BN514+BN517</f>
        <v>15413</v>
      </c>
      <c r="BP519" s="136"/>
      <c r="BR519" s="22">
        <f>BR514+BR517</f>
        <v>15413</v>
      </c>
      <c r="BS519" s="22">
        <f>BS514+BS517</f>
        <v>3973.98</v>
      </c>
      <c r="BU519" s="22">
        <f>BU514+BU517</f>
        <v>15413</v>
      </c>
      <c r="BV519" s="531">
        <f>BV514+BV517</f>
        <v>0</v>
      </c>
      <c r="BW519" s="581">
        <f>BW514+BW517</f>
        <v>15413</v>
      </c>
      <c r="BX519" s="582">
        <f>IF(BU519=0," ",(BW519-BU519)/BU519)</f>
        <v>0</v>
      </c>
      <c r="BY519" s="573"/>
      <c r="BZ519" s="581">
        <f>BZ514+BZ517</f>
        <v>15413</v>
      </c>
      <c r="CA519" s="581">
        <f>CA514+CA517</f>
        <v>15413</v>
      </c>
      <c r="CB519" s="573"/>
      <c r="CC519" s="764"/>
      <c r="CD519" s="573"/>
      <c r="CE519" s="581">
        <f>CE514+CE517</f>
        <v>15413</v>
      </c>
      <c r="CF519" s="581">
        <f>CF514+CF517</f>
        <v>0</v>
      </c>
      <c r="CH519" s="812"/>
      <c r="CI519" s="812"/>
      <c r="CJ519" s="886"/>
      <c r="CO519" s="16"/>
    </row>
    <row r="520" spans="1:93" ht="20.100000000000001" customHeight="1" x14ac:dyDescent="0.3">
      <c r="AS520" s="16"/>
      <c r="CO520" s="16"/>
    </row>
    <row r="521" spans="1:93" s="1" customFormat="1" ht="15.6" x14ac:dyDescent="0.3">
      <c r="A521" s="14" t="s">
        <v>182</v>
      </c>
      <c r="B521" s="2"/>
      <c r="C521" s="36"/>
      <c r="D521" s="36"/>
      <c r="E521" s="48"/>
      <c r="F521" s="2"/>
      <c r="G521" s="2"/>
      <c r="H521" s="15"/>
      <c r="I521" s="15"/>
      <c r="J521" s="15"/>
      <c r="K521" s="121"/>
      <c r="M521" s="15"/>
      <c r="N521" s="15"/>
      <c r="P521" s="133"/>
      <c r="R521" s="15"/>
      <c r="S521" s="15"/>
      <c r="U521" s="15"/>
      <c r="V521" s="15"/>
      <c r="W521" s="15"/>
      <c r="X521" s="121"/>
      <c r="Z521" s="15"/>
      <c r="AA521" s="15"/>
      <c r="AC521" s="133"/>
      <c r="AE521" s="15"/>
      <c r="AF521" s="196"/>
      <c r="AH521" s="15"/>
      <c r="AI521" s="15"/>
      <c r="AJ521" s="15"/>
      <c r="AK521" s="121"/>
      <c r="AM521" s="15"/>
      <c r="AN521" s="15"/>
      <c r="AP521" s="133"/>
      <c r="AR521" s="15"/>
      <c r="AS521" s="15"/>
      <c r="AU521" s="15"/>
      <c r="AV521" s="15"/>
      <c r="AW521" s="15"/>
      <c r="AX521" s="121"/>
      <c r="AZ521" s="15"/>
      <c r="BA521" s="15"/>
      <c r="BC521" s="133"/>
      <c r="BE521" s="15"/>
      <c r="BF521" s="15"/>
      <c r="BH521" s="15"/>
      <c r="BI521" s="15"/>
      <c r="BJ521" s="15"/>
      <c r="BK521" s="121"/>
      <c r="BM521" s="15"/>
      <c r="BN521" s="15"/>
      <c r="BP521" s="234"/>
      <c r="BR521" s="15"/>
      <c r="BS521" s="15"/>
      <c r="BU521" s="15"/>
      <c r="BV521" s="529"/>
      <c r="BW521" s="574"/>
      <c r="BX521" s="575"/>
      <c r="BY521" s="573"/>
      <c r="BZ521" s="574"/>
      <c r="CA521" s="574"/>
      <c r="CB521" s="573"/>
      <c r="CC521" s="761"/>
      <c r="CD521" s="573"/>
      <c r="CE521" s="574"/>
      <c r="CF521" s="574"/>
      <c r="CH521" s="812"/>
      <c r="CI521" s="812"/>
      <c r="CJ521" s="886"/>
      <c r="CO521" s="16"/>
    </row>
    <row r="522" spans="1:93" x14ac:dyDescent="0.3">
      <c r="A522" s="11">
        <v>420</v>
      </c>
      <c r="B522" s="3" t="s">
        <v>2</v>
      </c>
      <c r="C522" s="37">
        <v>42001</v>
      </c>
      <c r="D522" s="37">
        <v>51120</v>
      </c>
      <c r="E522" s="49" t="s">
        <v>119</v>
      </c>
      <c r="F522" s="3" t="s">
        <v>2</v>
      </c>
      <c r="G522" s="3" t="s">
        <v>378</v>
      </c>
      <c r="H522" s="26">
        <v>95150</v>
      </c>
      <c r="I522" s="244">
        <v>3983</v>
      </c>
      <c r="J522" s="16">
        <f>H522+I522</f>
        <v>99133</v>
      </c>
      <c r="K522" s="122">
        <f>IF(H522=0," ",(J522-H522)/H522)</f>
        <v>4.1860220704151338E-2</v>
      </c>
      <c r="M522" s="117">
        <v>99133</v>
      </c>
      <c r="N522" s="147">
        <v>99133</v>
      </c>
      <c r="O522" s="7"/>
      <c r="P522" s="149" t="s">
        <v>598</v>
      </c>
      <c r="R522" s="26">
        <v>99133</v>
      </c>
      <c r="S522" s="146">
        <v>99132.800000000003</v>
      </c>
      <c r="U522" s="26">
        <v>99133</v>
      </c>
      <c r="V522" s="244">
        <v>4763</v>
      </c>
      <c r="W522" s="16">
        <f>U522+V522</f>
        <v>103896</v>
      </c>
      <c r="X522" s="122">
        <f>IF(U522=0," ",(W522-U522)/U522)</f>
        <v>4.8046563707342664E-2</v>
      </c>
      <c r="Z522" s="117">
        <f>W522</f>
        <v>103896</v>
      </c>
      <c r="AA522" s="117">
        <v>103896</v>
      </c>
      <c r="AC522" s="259" t="s">
        <v>651</v>
      </c>
      <c r="AE522" s="26">
        <v>103896</v>
      </c>
      <c r="AF522" s="200">
        <v>103896</v>
      </c>
      <c r="AH522" s="26">
        <v>103896</v>
      </c>
      <c r="AI522" s="244">
        <v>5851</v>
      </c>
      <c r="AJ522" s="16">
        <f>AH522+AI522</f>
        <v>109747</v>
      </c>
      <c r="AK522" s="122">
        <f>IF(AH522=0," ",(AJ522-AH522)/AH522)</f>
        <v>5.6315931315931315E-2</v>
      </c>
      <c r="AM522" s="117">
        <v>109747</v>
      </c>
      <c r="AN522" s="117">
        <v>109747</v>
      </c>
      <c r="AP522" s="259" t="s">
        <v>814</v>
      </c>
      <c r="AR522" s="26">
        <v>109747</v>
      </c>
      <c r="AS522" s="26">
        <v>100304</v>
      </c>
      <c r="AU522" s="26">
        <f>AR522</f>
        <v>109747</v>
      </c>
      <c r="AV522" s="244">
        <v>-15014</v>
      </c>
      <c r="AW522" s="16">
        <f>AU522+AV522</f>
        <v>94733</v>
      </c>
      <c r="AX522" s="122">
        <f>IF(AU522=0," ",(AW522-AU522)/AU522)</f>
        <v>-0.13680556188324056</v>
      </c>
      <c r="AZ522" s="117">
        <v>94357</v>
      </c>
      <c r="BA522" s="117">
        <v>100304</v>
      </c>
      <c r="BC522" s="259" t="s">
        <v>1036</v>
      </c>
      <c r="BE522" s="26">
        <v>92875</v>
      </c>
      <c r="BF522" s="26">
        <v>79367.240000000005</v>
      </c>
      <c r="BH522" s="26">
        <v>92875</v>
      </c>
      <c r="BI522" s="244">
        <v>-27779</v>
      </c>
      <c r="BJ522" s="16">
        <f>BH522+BI522</f>
        <v>65096</v>
      </c>
      <c r="BK522" s="122">
        <f>IF(BH522=0," ",(BJ522-BH522)/BH522)</f>
        <v>-0.29910094212651411</v>
      </c>
      <c r="BM522" s="117">
        <v>65096</v>
      </c>
      <c r="BN522" s="117">
        <v>65096</v>
      </c>
      <c r="BP522" s="428" t="s">
        <v>1305</v>
      </c>
      <c r="BR522" s="117">
        <v>65096</v>
      </c>
      <c r="BS522" s="26">
        <v>29201.52</v>
      </c>
      <c r="BU522" s="26">
        <v>65096</v>
      </c>
      <c r="BV522" s="244">
        <v>1260</v>
      </c>
      <c r="BW522" s="576">
        <f>BU522+BV522</f>
        <v>66356</v>
      </c>
      <c r="BX522" s="577">
        <f>IF(BU522=0," ",(BW522-BU522)/BU522)</f>
        <v>1.9356028020154847E-2</v>
      </c>
      <c r="BZ522" s="166">
        <v>66356</v>
      </c>
      <c r="CA522" s="166">
        <v>66356</v>
      </c>
      <c r="CC522" s="765" t="s">
        <v>1277</v>
      </c>
      <c r="CE522" s="166">
        <v>66356</v>
      </c>
      <c r="CF522" s="166"/>
      <c r="CO522" s="16"/>
    </row>
    <row r="523" spans="1:93" x14ac:dyDescent="0.3">
      <c r="A523" s="11">
        <v>420</v>
      </c>
      <c r="B523" s="3" t="s">
        <v>2</v>
      </c>
      <c r="C523" s="37">
        <v>42001</v>
      </c>
      <c r="D523" s="37">
        <v>51490</v>
      </c>
      <c r="E523" s="49" t="s">
        <v>119</v>
      </c>
      <c r="F523" s="3" t="s">
        <v>2</v>
      </c>
      <c r="G523" s="3" t="s">
        <v>379</v>
      </c>
      <c r="H523" s="26">
        <v>1750</v>
      </c>
      <c r="I523" s="245"/>
      <c r="J523" s="16">
        <f>H523+I523</f>
        <v>1750</v>
      </c>
      <c r="K523" s="122">
        <f>IF(H523=0," ",(J523-H523)/H523)</f>
        <v>0</v>
      </c>
      <c r="M523" s="118">
        <v>1750</v>
      </c>
      <c r="N523" s="118">
        <v>1750</v>
      </c>
      <c r="O523" s="7"/>
      <c r="P523" s="149"/>
      <c r="R523" s="144">
        <v>1750</v>
      </c>
      <c r="S523" s="144">
        <v>1750</v>
      </c>
      <c r="U523" s="144">
        <v>1750</v>
      </c>
      <c r="V523" s="245">
        <v>0</v>
      </c>
      <c r="W523" s="16">
        <f>U523+V523</f>
        <v>1750</v>
      </c>
      <c r="X523" s="122">
        <f>IF(U523=0," ",(W523-U523)/U523)</f>
        <v>0</v>
      </c>
      <c r="Z523" s="117">
        <f>W523</f>
        <v>1750</v>
      </c>
      <c r="AA523" s="118">
        <v>1750</v>
      </c>
      <c r="AC523" s="137"/>
      <c r="AE523" s="144">
        <v>1750</v>
      </c>
      <c r="AF523" s="271">
        <v>1750</v>
      </c>
      <c r="AH523" s="144">
        <v>1750</v>
      </c>
      <c r="AI523" s="245"/>
      <c r="AJ523" s="16">
        <f>AH523+AI523</f>
        <v>1750</v>
      </c>
      <c r="AK523" s="122">
        <f>IF(AH523=0," ",(AJ523-AH523)/AH523)</f>
        <v>0</v>
      </c>
      <c r="AM523" s="117">
        <v>1750</v>
      </c>
      <c r="AN523" s="117">
        <v>1750</v>
      </c>
      <c r="AP523" s="137"/>
      <c r="AR523" s="26">
        <v>1750</v>
      </c>
      <c r="AS523" s="26">
        <v>1750</v>
      </c>
      <c r="AU523" s="26">
        <f>AR523</f>
        <v>1750</v>
      </c>
      <c r="AV523" s="245"/>
      <c r="AW523" s="16">
        <f>AU523+AV523</f>
        <v>1750</v>
      </c>
      <c r="AX523" s="122">
        <f>IF(AU523=0," ",(AW523-AU523)/AU523)</f>
        <v>0</v>
      </c>
      <c r="AZ523" s="117">
        <v>1750</v>
      </c>
      <c r="BA523" s="117">
        <v>1750</v>
      </c>
      <c r="BC523" s="137"/>
      <c r="BE523" s="26">
        <v>1750</v>
      </c>
      <c r="BF523" s="26">
        <v>1000</v>
      </c>
      <c r="BH523" s="26">
        <v>1750</v>
      </c>
      <c r="BI523" s="245"/>
      <c r="BJ523" s="16">
        <f>BH523+BI523</f>
        <v>1750</v>
      </c>
      <c r="BK523" s="122">
        <f>IF(BH523=0," ",(BJ523-BH523)/BH523)</f>
        <v>0</v>
      </c>
      <c r="BM523" s="117">
        <v>1750</v>
      </c>
      <c r="BN523" s="117">
        <v>1750</v>
      </c>
      <c r="BP523" s="137"/>
      <c r="BR523" s="117">
        <v>1750</v>
      </c>
      <c r="BS523" s="144">
        <v>1000</v>
      </c>
      <c r="BU523" s="26">
        <v>1750</v>
      </c>
      <c r="BV523" s="245">
        <v>-1150</v>
      </c>
      <c r="BW523" s="576">
        <f>BU523+BV523</f>
        <v>600</v>
      </c>
      <c r="BX523" s="577">
        <f>IF(BU523=0," ",(BW523-BU523)/BU523)</f>
        <v>-0.65714285714285714</v>
      </c>
      <c r="BZ523" s="166">
        <v>600</v>
      </c>
      <c r="CA523" s="166">
        <v>600</v>
      </c>
      <c r="CC523" s="767" t="s">
        <v>1471</v>
      </c>
      <c r="CE523" s="166">
        <v>600</v>
      </c>
      <c r="CF523" s="166"/>
      <c r="CO523" s="16"/>
    </row>
    <row r="524" spans="1:93" x14ac:dyDescent="0.3">
      <c r="A524" s="12"/>
      <c r="H524" s="145">
        <f t="shared" ref="H524" si="249">SUM(H522:H523)</f>
        <v>96900</v>
      </c>
      <c r="I524" s="32">
        <f>SUM(I522:I523)</f>
        <v>3983</v>
      </c>
      <c r="J524" s="32">
        <f>SUM(J522:J523)</f>
        <v>100883</v>
      </c>
      <c r="K524" s="128">
        <f>IF(H524=0," ",(J524-H524)/H524)</f>
        <v>4.1104231166150668E-2</v>
      </c>
      <c r="M524" s="32">
        <f>SUM(M522:M523)</f>
        <v>100883</v>
      </c>
      <c r="N524" s="31">
        <f>SUM(N522:N523)</f>
        <v>100883</v>
      </c>
      <c r="O524" s="7"/>
      <c r="P524" s="228">
        <f>SUM(P522:P523)</f>
        <v>0</v>
      </c>
      <c r="R524" s="32">
        <f>SUM(R522:R523)</f>
        <v>100883</v>
      </c>
      <c r="S524" s="31">
        <f>SUM(S522:S523)</f>
        <v>100882.8</v>
      </c>
      <c r="U524" s="32">
        <f>SUM(U522:U523)</f>
        <v>100883</v>
      </c>
      <c r="V524" s="32">
        <f>SUM(V522:V523)</f>
        <v>4763</v>
      </c>
      <c r="W524" s="32">
        <f>SUM(W522:W523)</f>
        <v>105646</v>
      </c>
      <c r="X524" s="128">
        <f>IF(U524=0," ",(W524-U524)/U524)</f>
        <v>4.7213108254116155E-2</v>
      </c>
      <c r="Z524" s="32">
        <f>SUM(Z522:Z523)</f>
        <v>105646</v>
      </c>
      <c r="AA524" s="32">
        <f>SUM(AA522:AA523)</f>
        <v>105646</v>
      </c>
      <c r="AC524" s="141"/>
      <c r="AE524" s="32">
        <f>SUM(AE522:AE523)</f>
        <v>105646</v>
      </c>
      <c r="AF524" s="274">
        <f>SUM(AF522:AF523)</f>
        <v>105646</v>
      </c>
      <c r="AH524" s="145">
        <v>105646</v>
      </c>
      <c r="AI524" s="32">
        <f>SUM(AI522:AI523)</f>
        <v>5851</v>
      </c>
      <c r="AJ524" s="32">
        <f>SUM(AJ522:AJ523)</f>
        <v>111497</v>
      </c>
      <c r="AK524" s="128">
        <f>IF(AH524=0," ",(AJ524-AH524)/AH524)</f>
        <v>5.5383071767979859E-2</v>
      </c>
      <c r="AM524" s="32">
        <f>SUM(AM522:AM523)</f>
        <v>111497</v>
      </c>
      <c r="AN524" s="32">
        <f>SUM(AN522:AN523)</f>
        <v>111497</v>
      </c>
      <c r="AP524" s="141"/>
      <c r="AR524" s="145">
        <f>SUM(AR522:AR523)</f>
        <v>111497</v>
      </c>
      <c r="AS524" s="145">
        <f>SUM(AS522:AS523)</f>
        <v>102054</v>
      </c>
      <c r="AU524" s="145">
        <f>SUM(AU522:AU523)</f>
        <v>111497</v>
      </c>
      <c r="AV524" s="32">
        <f>SUM(AV522:AV523)</f>
        <v>-15014</v>
      </c>
      <c r="AW524" s="32">
        <f>SUM(AW522:AW523)</f>
        <v>96483</v>
      </c>
      <c r="AX524" s="128">
        <f>IF(AU524=0," ",(AW524-AU524)/AU524)</f>
        <v>-0.13465833161430352</v>
      </c>
      <c r="AZ524" s="32">
        <f>SUM(AZ522:AZ523)</f>
        <v>96107</v>
      </c>
      <c r="BA524" s="32">
        <f>SUM(BA522:BA523)</f>
        <v>102054</v>
      </c>
      <c r="BC524" s="141"/>
      <c r="BE524" s="145">
        <f>SUM(BE522:BE523)</f>
        <v>94625</v>
      </c>
      <c r="BF524" s="145">
        <f>SUM(BF522:BF523)</f>
        <v>80367.240000000005</v>
      </c>
      <c r="BH524" s="145">
        <f>SUM(BH522:BH523)</f>
        <v>94625</v>
      </c>
      <c r="BI524" s="32">
        <f>SUM(BI522:BI523)</f>
        <v>-27779</v>
      </c>
      <c r="BJ524" s="32">
        <f>SUM(BJ522:BJ523)</f>
        <v>66846</v>
      </c>
      <c r="BK524" s="128">
        <f>IF(BH524=0," ",(BJ524-BH524)/BH524)</f>
        <v>-0.29356935270805812</v>
      </c>
      <c r="BM524" s="145">
        <f>SUM(BM522:BM523)</f>
        <v>66846</v>
      </c>
      <c r="BN524" s="145">
        <f>SUM(BN522:BN523)</f>
        <v>66846</v>
      </c>
      <c r="BP524" s="141"/>
      <c r="BR524" s="145">
        <f>SUM(BR522:BR523)</f>
        <v>66846</v>
      </c>
      <c r="BS524" s="145">
        <f>SUM(BS522:BS523)</f>
        <v>30201.52</v>
      </c>
      <c r="BU524" s="145">
        <f>SUM(BU522:BU523)</f>
        <v>66846</v>
      </c>
      <c r="BV524" s="32">
        <f>SUM(BV522:BV523)</f>
        <v>110</v>
      </c>
      <c r="BW524" s="595">
        <f>SUM(BW522:BW523)</f>
        <v>66956</v>
      </c>
      <c r="BX524" s="596">
        <f>IF(BU524=0," ",(BW524-BU524)/BU524)</f>
        <v>1.6455734075337342E-3</v>
      </c>
      <c r="BZ524" s="597">
        <f>SUM(BZ522:BZ523)</f>
        <v>66956</v>
      </c>
      <c r="CA524" s="597">
        <f>SUM(CA522:CA523)</f>
        <v>66956</v>
      </c>
      <c r="CC524" s="770"/>
      <c r="CE524" s="597">
        <f>SUM(CE522:CE523)</f>
        <v>66956</v>
      </c>
      <c r="CF524" s="597">
        <f>SUM(CF522:CF523)</f>
        <v>0</v>
      </c>
      <c r="CO524" s="16"/>
    </row>
    <row r="525" spans="1:93" x14ac:dyDescent="0.3">
      <c r="H525" s="26"/>
      <c r="O525" s="7"/>
      <c r="S525" s="31"/>
      <c r="U525" s="26"/>
      <c r="AF525" s="200"/>
      <c r="AH525" s="26"/>
      <c r="AR525" s="26"/>
      <c r="AS525" s="26"/>
      <c r="AU525" s="26"/>
      <c r="BE525" s="26"/>
      <c r="BF525" s="26"/>
      <c r="BH525" s="26"/>
      <c r="BM525" s="26"/>
      <c r="BN525" s="26"/>
      <c r="BR525" s="26"/>
      <c r="BS525" s="26"/>
      <c r="BU525" s="26"/>
      <c r="BZ525" s="589"/>
      <c r="CA525" s="589"/>
      <c r="CE525" s="589"/>
      <c r="CF525" s="589"/>
      <c r="CO525" s="16"/>
    </row>
    <row r="526" spans="1:93" x14ac:dyDescent="0.3">
      <c r="A526" s="11">
        <v>420</v>
      </c>
      <c r="B526" s="3" t="s">
        <v>2</v>
      </c>
      <c r="C526" s="37">
        <v>42002</v>
      </c>
      <c r="D526" s="37">
        <v>51130</v>
      </c>
      <c r="E526" s="49" t="s">
        <v>11</v>
      </c>
      <c r="F526" s="3" t="s">
        <v>2</v>
      </c>
      <c r="G526" s="3" t="s">
        <v>9</v>
      </c>
      <c r="H526" s="26">
        <v>259537</v>
      </c>
      <c r="I526" s="244"/>
      <c r="J526" s="16">
        <f t="shared" ref="J526:J531" si="250">H526+I526</f>
        <v>259537</v>
      </c>
      <c r="K526" s="122">
        <f t="shared" ref="K526:K531" si="251">IF(H526=0," ",(J526-H526)/H526)</f>
        <v>0</v>
      </c>
      <c r="M526" s="117">
        <v>259537</v>
      </c>
      <c r="N526" s="117">
        <v>259537</v>
      </c>
      <c r="P526" s="259" t="s">
        <v>599</v>
      </c>
      <c r="R526" s="26">
        <v>259537</v>
      </c>
      <c r="S526" s="26">
        <v>263924.49</v>
      </c>
      <c r="U526" s="26">
        <v>259537</v>
      </c>
      <c r="V526" s="244">
        <v>0</v>
      </c>
      <c r="W526" s="16">
        <f t="shared" ref="W526:W531" si="252">U526+V526</f>
        <v>259537</v>
      </c>
      <c r="X526" s="122">
        <f t="shared" ref="X526:X531" si="253">IF(U526=0," ",(W526-U526)/U526)</f>
        <v>0</v>
      </c>
      <c r="Z526" s="117">
        <v>259537</v>
      </c>
      <c r="AA526" s="117">
        <v>259537</v>
      </c>
      <c r="AC526" s="259"/>
      <c r="AE526" s="26">
        <v>259537</v>
      </c>
      <c r="AF526" s="200">
        <v>270948.27</v>
      </c>
      <c r="AH526" s="26">
        <v>259537</v>
      </c>
      <c r="AI526" s="244">
        <v>21179</v>
      </c>
      <c r="AJ526" s="16">
        <f t="shared" ref="AJ526:AJ531" si="254">AH526+AI526</f>
        <v>280716</v>
      </c>
      <c r="AK526" s="122">
        <f t="shared" ref="AK526:AK531" si="255">IF(AH526=0," ",(AJ526-AH526)/AH526)</f>
        <v>8.1603008434250224E-2</v>
      </c>
      <c r="AM526" s="117">
        <v>280716</v>
      </c>
      <c r="AN526" s="117">
        <v>280716</v>
      </c>
      <c r="AP526" s="259"/>
      <c r="AR526" s="26">
        <v>280716</v>
      </c>
      <c r="AS526" s="26">
        <v>253760.64000000001</v>
      </c>
      <c r="AU526" s="26">
        <f t="shared" ref="AU526:AU533" si="256">AR526</f>
        <v>280716</v>
      </c>
      <c r="AV526" s="244"/>
      <c r="AW526" s="16">
        <f t="shared" ref="AW526:AW531" si="257">AU526+AV526</f>
        <v>280716</v>
      </c>
      <c r="AX526" s="122">
        <f t="shared" ref="AX526:AX531" si="258">IF(AU526=0," ",(AW526-AU526)/AU526)</f>
        <v>0</v>
      </c>
      <c r="AZ526" s="117">
        <v>280716</v>
      </c>
      <c r="BA526" s="117">
        <v>253760.64000000001</v>
      </c>
      <c r="BC526" s="259"/>
      <c r="BE526" s="26">
        <v>280716</v>
      </c>
      <c r="BF526" s="26">
        <v>264625.52</v>
      </c>
      <c r="BH526" s="26">
        <v>280716</v>
      </c>
      <c r="BI526" s="244"/>
      <c r="BJ526" s="16">
        <f t="shared" ref="BJ526:BJ531" si="259">BH526+BI526</f>
        <v>280716</v>
      </c>
      <c r="BK526" s="122">
        <f t="shared" ref="BK526:BK531" si="260">IF(BH526=0," ",(BJ526-BH526)/BH526)</f>
        <v>0</v>
      </c>
      <c r="BM526" s="117">
        <v>280716</v>
      </c>
      <c r="BN526" s="117">
        <v>280716</v>
      </c>
      <c r="BP526" s="259"/>
      <c r="BR526" s="117">
        <v>280716</v>
      </c>
      <c r="BS526" s="26">
        <v>131689.29</v>
      </c>
      <c r="BU526" s="26">
        <v>280716</v>
      </c>
      <c r="BV526" s="244">
        <v>13142</v>
      </c>
      <c r="BW526" s="576">
        <f t="shared" ref="BW526:BW531" si="261">BU526+BV526</f>
        <v>293858</v>
      </c>
      <c r="BX526" s="577">
        <f t="shared" ref="BX526:BX531" si="262">IF(BU526=0," ",(BW526-BU526)/BU526)</f>
        <v>4.6815999088046283E-2</v>
      </c>
      <c r="BZ526" s="166">
        <v>293858</v>
      </c>
      <c r="CA526" s="166">
        <v>293858</v>
      </c>
      <c r="CC526" s="753" t="s">
        <v>1443</v>
      </c>
      <c r="CE526" s="166">
        <v>293858</v>
      </c>
      <c r="CF526" s="166"/>
      <c r="CO526" s="16"/>
    </row>
    <row r="527" spans="1:93" x14ac:dyDescent="0.3">
      <c r="A527" s="11">
        <v>420</v>
      </c>
      <c r="B527" s="3" t="s">
        <v>2</v>
      </c>
      <c r="C527" s="37">
        <v>42002</v>
      </c>
      <c r="D527" s="37">
        <v>51141</v>
      </c>
      <c r="E527" s="49" t="s">
        <v>11</v>
      </c>
      <c r="F527" s="3" t="s">
        <v>2</v>
      </c>
      <c r="G527" s="3" t="s">
        <v>33</v>
      </c>
      <c r="H527" s="26">
        <v>17737</v>
      </c>
      <c r="I527" s="244">
        <v>784</v>
      </c>
      <c r="J527" s="16">
        <f t="shared" si="250"/>
        <v>18521</v>
      </c>
      <c r="K527" s="122">
        <f t="shared" si="251"/>
        <v>4.4201386931273609E-2</v>
      </c>
      <c r="M527" s="117">
        <v>18521</v>
      </c>
      <c r="N527" s="117">
        <v>18521</v>
      </c>
      <c r="P527" s="259" t="s">
        <v>600</v>
      </c>
      <c r="R527" s="26">
        <v>18521</v>
      </c>
      <c r="S527" s="26">
        <v>18520.32</v>
      </c>
      <c r="U527" s="26">
        <v>18521</v>
      </c>
      <c r="V527" s="244">
        <v>889</v>
      </c>
      <c r="W527" s="16">
        <f t="shared" si="252"/>
        <v>19410</v>
      </c>
      <c r="X527" s="122">
        <f t="shared" si="253"/>
        <v>4.7999568057880242E-2</v>
      </c>
      <c r="Z527" s="117">
        <v>19410</v>
      </c>
      <c r="AA527" s="117">
        <v>19410</v>
      </c>
      <c r="AC527" s="259" t="s">
        <v>681</v>
      </c>
      <c r="AE527" s="26">
        <v>19410</v>
      </c>
      <c r="AF527" s="200">
        <v>19408.48</v>
      </c>
      <c r="AH527" s="26">
        <v>19410</v>
      </c>
      <c r="AI527" s="244">
        <v>1106</v>
      </c>
      <c r="AJ527" s="16">
        <f t="shared" si="254"/>
        <v>20516</v>
      </c>
      <c r="AK527" s="122">
        <f t="shared" si="255"/>
        <v>5.6980937660999487E-2</v>
      </c>
      <c r="AM527" s="117">
        <v>20516</v>
      </c>
      <c r="AN527" s="117">
        <v>20516</v>
      </c>
      <c r="AP527" s="259" t="s">
        <v>815</v>
      </c>
      <c r="AR527" s="26">
        <v>20516</v>
      </c>
      <c r="AS527" s="26">
        <v>20504.12</v>
      </c>
      <c r="AU527" s="26">
        <f t="shared" si="256"/>
        <v>20516</v>
      </c>
      <c r="AV527" s="244">
        <v>874</v>
      </c>
      <c r="AW527" s="16">
        <f t="shared" si="257"/>
        <v>21390</v>
      </c>
      <c r="AX527" s="122">
        <f t="shared" si="258"/>
        <v>4.2600896860986545E-2</v>
      </c>
      <c r="AZ527" s="117">
        <v>21309</v>
      </c>
      <c r="BA527" s="117">
        <v>20504.12</v>
      </c>
      <c r="BC527" s="259" t="s">
        <v>972</v>
      </c>
      <c r="BE527" s="26">
        <v>20973</v>
      </c>
      <c r="BF527" s="26">
        <v>22148.57</v>
      </c>
      <c r="BH527" s="26">
        <v>20973</v>
      </c>
      <c r="BI527" s="244">
        <v>2276</v>
      </c>
      <c r="BJ527" s="16">
        <f t="shared" si="259"/>
        <v>23249</v>
      </c>
      <c r="BK527" s="122">
        <f t="shared" si="260"/>
        <v>0.10852047871072332</v>
      </c>
      <c r="BM527" s="117">
        <v>23249</v>
      </c>
      <c r="BN527" s="117">
        <v>23249</v>
      </c>
      <c r="BP527" s="428" t="s">
        <v>1306</v>
      </c>
      <c r="BR527" s="117">
        <v>23249</v>
      </c>
      <c r="BS527" s="26">
        <v>10363.540000000001</v>
      </c>
      <c r="BU527" s="26">
        <v>23249</v>
      </c>
      <c r="BV527" s="244">
        <v>264</v>
      </c>
      <c r="BW527" s="576">
        <f t="shared" si="261"/>
        <v>23513</v>
      </c>
      <c r="BX527" s="577">
        <f t="shared" si="262"/>
        <v>1.1355327110843477E-2</v>
      </c>
      <c r="BZ527" s="166">
        <v>23513</v>
      </c>
      <c r="CA527" s="166">
        <v>23513</v>
      </c>
      <c r="CC527" s="765" t="s">
        <v>1280</v>
      </c>
      <c r="CE527" s="166">
        <v>23513</v>
      </c>
      <c r="CF527" s="166"/>
      <c r="CO527" s="16"/>
    </row>
    <row r="528" spans="1:93" x14ac:dyDescent="0.3">
      <c r="A528" s="11">
        <v>420</v>
      </c>
      <c r="B528" s="3" t="s">
        <v>2</v>
      </c>
      <c r="C528" s="37">
        <v>42002</v>
      </c>
      <c r="D528" s="37">
        <v>51310</v>
      </c>
      <c r="E528" s="49" t="s">
        <v>11</v>
      </c>
      <c r="F528" s="3" t="s">
        <v>2</v>
      </c>
      <c r="G528" s="3" t="s">
        <v>380</v>
      </c>
      <c r="H528" s="26">
        <v>8320</v>
      </c>
      <c r="I528" s="244">
        <v>166</v>
      </c>
      <c r="J528" s="16">
        <f t="shared" si="250"/>
        <v>8486</v>
      </c>
      <c r="K528" s="122">
        <f t="shared" si="251"/>
        <v>1.9951923076923075E-2</v>
      </c>
      <c r="M528" s="117">
        <v>8486</v>
      </c>
      <c r="N528" s="117">
        <v>8486</v>
      </c>
      <c r="P528" s="259"/>
      <c r="R528" s="26">
        <v>8486</v>
      </c>
      <c r="S528" s="26">
        <v>8387.7800000000007</v>
      </c>
      <c r="U528" s="26">
        <v>8486</v>
      </c>
      <c r="V528" s="244">
        <v>0</v>
      </c>
      <c r="W528" s="16">
        <f t="shared" si="252"/>
        <v>8486</v>
      </c>
      <c r="X528" s="122">
        <f t="shared" si="253"/>
        <v>0</v>
      </c>
      <c r="Z528" s="117">
        <v>8486</v>
      </c>
      <c r="AA528" s="117">
        <v>8486</v>
      </c>
      <c r="AC528" s="259"/>
      <c r="AE528" s="26">
        <v>8486</v>
      </c>
      <c r="AF528" s="200">
        <v>5717.14</v>
      </c>
      <c r="AH528" s="26">
        <v>8486</v>
      </c>
      <c r="AI528" s="244">
        <v>500</v>
      </c>
      <c r="AJ528" s="16">
        <f t="shared" si="254"/>
        <v>8986</v>
      </c>
      <c r="AK528" s="122">
        <f t="shared" si="255"/>
        <v>5.892057506481263E-2</v>
      </c>
      <c r="AM528" s="117">
        <v>8986</v>
      </c>
      <c r="AN528" s="117">
        <v>8986</v>
      </c>
      <c r="AP528" s="259"/>
      <c r="AR528" s="26">
        <v>8986</v>
      </c>
      <c r="AS528" s="26">
        <v>6843.91</v>
      </c>
      <c r="AU528" s="26">
        <f t="shared" si="256"/>
        <v>8986</v>
      </c>
      <c r="AV528" s="244"/>
      <c r="AW528" s="16">
        <f t="shared" si="257"/>
        <v>8986</v>
      </c>
      <c r="AX528" s="122">
        <f t="shared" si="258"/>
        <v>0</v>
      </c>
      <c r="AZ528" s="117">
        <v>8986</v>
      </c>
      <c r="BA528" s="117">
        <v>6843.91</v>
      </c>
      <c r="BC528" s="259"/>
      <c r="BE528" s="26">
        <v>8986</v>
      </c>
      <c r="BF528" s="26">
        <v>7020.26</v>
      </c>
      <c r="BH528" s="26">
        <v>8986</v>
      </c>
      <c r="BI528" s="244"/>
      <c r="BJ528" s="16">
        <f t="shared" si="259"/>
        <v>8986</v>
      </c>
      <c r="BK528" s="122">
        <f t="shared" si="260"/>
        <v>0</v>
      </c>
      <c r="BM528" s="117">
        <v>8986</v>
      </c>
      <c r="BN528" s="117">
        <v>8986</v>
      </c>
      <c r="BP528" s="259"/>
      <c r="BR528" s="117">
        <v>8986</v>
      </c>
      <c r="BS528" s="26">
        <v>3493.97</v>
      </c>
      <c r="BU528" s="26">
        <v>8986</v>
      </c>
      <c r="BV528" s="244">
        <v>135</v>
      </c>
      <c r="BW528" s="576">
        <f t="shared" si="261"/>
        <v>9121</v>
      </c>
      <c r="BX528" s="577">
        <f t="shared" si="262"/>
        <v>1.5023369686178499E-2</v>
      </c>
      <c r="BZ528" s="166">
        <v>9121</v>
      </c>
      <c r="CA528" s="166">
        <v>9121</v>
      </c>
      <c r="CC528" s="753" t="s">
        <v>1443</v>
      </c>
      <c r="CE528" s="166">
        <v>9121</v>
      </c>
      <c r="CF528" s="166"/>
      <c r="CO528" s="16"/>
    </row>
    <row r="529" spans="1:93" x14ac:dyDescent="0.3">
      <c r="A529" s="11">
        <v>420</v>
      </c>
      <c r="B529" s="3" t="s">
        <v>2</v>
      </c>
      <c r="C529" s="37">
        <v>42002</v>
      </c>
      <c r="D529" s="37">
        <v>51315</v>
      </c>
      <c r="E529" s="49" t="s">
        <v>11</v>
      </c>
      <c r="F529" s="3" t="s">
        <v>2</v>
      </c>
      <c r="G529" s="3" t="s">
        <v>381</v>
      </c>
      <c r="H529" s="26">
        <v>5840</v>
      </c>
      <c r="I529" s="244">
        <v>1500</v>
      </c>
      <c r="J529" s="16">
        <f t="shared" si="250"/>
        <v>7340</v>
      </c>
      <c r="K529" s="122">
        <f t="shared" si="251"/>
        <v>0.25684931506849318</v>
      </c>
      <c r="M529" s="117">
        <v>7340</v>
      </c>
      <c r="N529" s="117">
        <v>7340</v>
      </c>
      <c r="P529" s="259"/>
      <c r="R529" s="26">
        <v>7340</v>
      </c>
      <c r="S529" s="26">
        <v>6261.77</v>
      </c>
      <c r="U529" s="26">
        <v>7340</v>
      </c>
      <c r="V529" s="244">
        <v>0</v>
      </c>
      <c r="W529" s="16">
        <f t="shared" si="252"/>
        <v>7340</v>
      </c>
      <c r="X529" s="122">
        <f t="shared" si="253"/>
        <v>0</v>
      </c>
      <c r="Z529" s="117">
        <v>7340</v>
      </c>
      <c r="AA529" s="117">
        <v>7340</v>
      </c>
      <c r="AC529" s="259"/>
      <c r="AE529" s="26">
        <v>7340</v>
      </c>
      <c r="AF529" s="200">
        <v>6186.81</v>
      </c>
      <c r="AH529" s="26">
        <v>7340</v>
      </c>
      <c r="AI529" s="244">
        <v>441</v>
      </c>
      <c r="AJ529" s="16">
        <f t="shared" si="254"/>
        <v>7781</v>
      </c>
      <c r="AK529" s="122">
        <f t="shared" si="255"/>
        <v>6.0081743869209808E-2</v>
      </c>
      <c r="AM529" s="117">
        <v>7781</v>
      </c>
      <c r="AN529" s="117">
        <v>7781</v>
      </c>
      <c r="AP529" s="259"/>
      <c r="AR529" s="26">
        <v>7781</v>
      </c>
      <c r="AS529" s="26">
        <v>5474.6</v>
      </c>
      <c r="AU529" s="26">
        <f t="shared" si="256"/>
        <v>7781</v>
      </c>
      <c r="AV529" s="244"/>
      <c r="AW529" s="16">
        <f t="shared" si="257"/>
        <v>7781</v>
      </c>
      <c r="AX529" s="122">
        <f t="shared" si="258"/>
        <v>0</v>
      </c>
      <c r="AZ529" s="117">
        <v>7781</v>
      </c>
      <c r="BA529" s="117">
        <v>5474.6</v>
      </c>
      <c r="BC529" s="259"/>
      <c r="BE529" s="26">
        <v>7781</v>
      </c>
      <c r="BF529" s="26">
        <v>6821.06</v>
      </c>
      <c r="BH529" s="26">
        <v>7781</v>
      </c>
      <c r="BI529" s="244"/>
      <c r="BJ529" s="16">
        <f t="shared" si="259"/>
        <v>7781</v>
      </c>
      <c r="BK529" s="122">
        <f t="shared" si="260"/>
        <v>0</v>
      </c>
      <c r="BM529" s="117">
        <v>7781</v>
      </c>
      <c r="BN529" s="117">
        <v>7781</v>
      </c>
      <c r="BP529" s="259"/>
      <c r="BR529" s="117">
        <v>7781</v>
      </c>
      <c r="BS529" s="26">
        <v>4233.1099999999997</v>
      </c>
      <c r="BU529" s="26">
        <v>7781</v>
      </c>
      <c r="BV529" s="244">
        <v>117</v>
      </c>
      <c r="BW529" s="576">
        <f t="shared" si="261"/>
        <v>7898</v>
      </c>
      <c r="BX529" s="577">
        <f t="shared" si="262"/>
        <v>1.5036627682817119E-2</v>
      </c>
      <c r="BZ529" s="166">
        <v>7898</v>
      </c>
      <c r="CA529" s="166">
        <v>7898</v>
      </c>
      <c r="CC529" s="753" t="s">
        <v>1443</v>
      </c>
      <c r="CE529" s="166">
        <v>7898</v>
      </c>
      <c r="CF529" s="166"/>
      <c r="CO529" s="16"/>
    </row>
    <row r="530" spans="1:93" x14ac:dyDescent="0.3">
      <c r="A530" s="11">
        <v>420</v>
      </c>
      <c r="B530" s="3" t="s">
        <v>2</v>
      </c>
      <c r="C530" s="37">
        <v>42002</v>
      </c>
      <c r="D530" s="37">
        <v>51330</v>
      </c>
      <c r="E530" s="49" t="s">
        <v>11</v>
      </c>
      <c r="F530" s="3" t="s">
        <v>2</v>
      </c>
      <c r="G530" s="3" t="s">
        <v>382</v>
      </c>
      <c r="H530" s="26">
        <v>0</v>
      </c>
      <c r="I530" s="244"/>
      <c r="J530" s="16">
        <f t="shared" si="250"/>
        <v>0</v>
      </c>
      <c r="K530" s="122" t="str">
        <f t="shared" si="251"/>
        <v xml:space="preserve"> </v>
      </c>
      <c r="M530" s="117">
        <v>0</v>
      </c>
      <c r="N530" s="117">
        <v>0</v>
      </c>
      <c r="P530" s="259"/>
      <c r="R530" s="26">
        <v>0</v>
      </c>
      <c r="S530" s="26">
        <v>0</v>
      </c>
      <c r="U530" s="26">
        <v>0</v>
      </c>
      <c r="V530" s="244">
        <v>0</v>
      </c>
      <c r="W530" s="16">
        <f t="shared" si="252"/>
        <v>0</v>
      </c>
      <c r="X530" s="122" t="str">
        <f t="shared" si="253"/>
        <v xml:space="preserve"> </v>
      </c>
      <c r="Z530" s="117">
        <v>0</v>
      </c>
      <c r="AA530" s="117">
        <v>0</v>
      </c>
      <c r="AC530" s="259"/>
      <c r="AE530" s="26">
        <v>0</v>
      </c>
      <c r="AF530" s="200">
        <v>45.35</v>
      </c>
      <c r="AH530" s="26">
        <v>0</v>
      </c>
      <c r="AI530" s="244"/>
      <c r="AJ530" s="16">
        <f t="shared" si="254"/>
        <v>0</v>
      </c>
      <c r="AK530" s="122" t="str">
        <f t="shared" si="255"/>
        <v xml:space="preserve"> </v>
      </c>
      <c r="AM530" s="117">
        <v>0</v>
      </c>
      <c r="AN530" s="117">
        <v>0</v>
      </c>
      <c r="AP530" s="259"/>
      <c r="AR530" s="26">
        <v>0</v>
      </c>
      <c r="AS530" s="26">
        <v>0</v>
      </c>
      <c r="AU530" s="26">
        <f t="shared" si="256"/>
        <v>0</v>
      </c>
      <c r="AV530" s="244"/>
      <c r="AW530" s="16">
        <f t="shared" si="257"/>
        <v>0</v>
      </c>
      <c r="AX530" s="122" t="str">
        <f t="shared" si="258"/>
        <v xml:space="preserve"> </v>
      </c>
      <c r="AZ530" s="117">
        <v>0</v>
      </c>
      <c r="BA530" s="117">
        <v>0</v>
      </c>
      <c r="BC530" s="259"/>
      <c r="BE530" s="26">
        <v>0</v>
      </c>
      <c r="BF530" s="26"/>
      <c r="BH530" s="26">
        <v>0</v>
      </c>
      <c r="BI530" s="244"/>
      <c r="BJ530" s="16">
        <f t="shared" si="259"/>
        <v>0</v>
      </c>
      <c r="BK530" s="122" t="str">
        <f t="shared" si="260"/>
        <v xml:space="preserve"> </v>
      </c>
      <c r="BM530" s="117">
        <v>0</v>
      </c>
      <c r="BN530" s="117">
        <v>0</v>
      </c>
      <c r="BP530" s="259"/>
      <c r="BR530" s="117">
        <v>0</v>
      </c>
      <c r="BS530" s="26"/>
      <c r="BU530" s="26">
        <v>0</v>
      </c>
      <c r="BV530" s="244"/>
      <c r="BW530" s="576">
        <f t="shared" si="261"/>
        <v>0</v>
      </c>
      <c r="BX530" s="577" t="str">
        <f t="shared" si="262"/>
        <v xml:space="preserve"> </v>
      </c>
      <c r="BZ530" s="166">
        <v>0</v>
      </c>
      <c r="CA530" s="166">
        <v>0</v>
      </c>
      <c r="CC530" s="753"/>
      <c r="CE530" s="166">
        <v>0</v>
      </c>
      <c r="CF530" s="166"/>
      <c r="CO530" s="16"/>
    </row>
    <row r="531" spans="1:93" x14ac:dyDescent="0.3">
      <c r="A531" s="11">
        <v>420</v>
      </c>
      <c r="B531" s="3" t="s">
        <v>2</v>
      </c>
      <c r="C531" s="37">
        <v>42002</v>
      </c>
      <c r="D531" s="37">
        <v>51490</v>
      </c>
      <c r="E531" s="49" t="s">
        <v>11</v>
      </c>
      <c r="F531" s="3" t="s">
        <v>2</v>
      </c>
      <c r="G531" s="3" t="s">
        <v>379</v>
      </c>
      <c r="H531" s="26">
        <v>5750</v>
      </c>
      <c r="I531" s="244">
        <v>-400</v>
      </c>
      <c r="J531" s="16">
        <f t="shared" si="250"/>
        <v>5350</v>
      </c>
      <c r="K531" s="122">
        <f t="shared" si="251"/>
        <v>-6.9565217391304349E-2</v>
      </c>
      <c r="M531" s="117">
        <v>5350</v>
      </c>
      <c r="N531" s="117">
        <v>5350</v>
      </c>
      <c r="P531" s="259"/>
      <c r="R531" s="26">
        <v>5350</v>
      </c>
      <c r="S531" s="26">
        <v>5262.5</v>
      </c>
      <c r="U531" s="26">
        <v>5350</v>
      </c>
      <c r="V531" s="244">
        <v>0</v>
      </c>
      <c r="W531" s="16">
        <f t="shared" si="252"/>
        <v>5350</v>
      </c>
      <c r="X531" s="122">
        <f t="shared" si="253"/>
        <v>0</v>
      </c>
      <c r="Z531" s="117">
        <v>5350</v>
      </c>
      <c r="AA531" s="117">
        <v>5350</v>
      </c>
      <c r="AC531" s="259"/>
      <c r="AE531" s="26">
        <v>5350</v>
      </c>
      <c r="AF531" s="200">
        <v>5262.5</v>
      </c>
      <c r="AH531" s="26">
        <v>5350</v>
      </c>
      <c r="AI531" s="244">
        <v>163</v>
      </c>
      <c r="AJ531" s="16">
        <f t="shared" si="254"/>
        <v>5513</v>
      </c>
      <c r="AK531" s="122">
        <f t="shared" si="255"/>
        <v>3.0467289719626169E-2</v>
      </c>
      <c r="AM531" s="117">
        <v>5513</v>
      </c>
      <c r="AN531" s="117">
        <v>5513</v>
      </c>
      <c r="AP531" s="259" t="s">
        <v>816</v>
      </c>
      <c r="AR531" s="26">
        <v>5513</v>
      </c>
      <c r="AS531" s="26">
        <v>5512.5</v>
      </c>
      <c r="AU531" s="26">
        <f t="shared" si="256"/>
        <v>5513</v>
      </c>
      <c r="AV531" s="244">
        <v>-1163</v>
      </c>
      <c r="AW531" s="16">
        <f t="shared" si="257"/>
        <v>4350</v>
      </c>
      <c r="AX531" s="122">
        <f t="shared" si="258"/>
        <v>-0.21095592236531835</v>
      </c>
      <c r="AZ531" s="117">
        <v>4350</v>
      </c>
      <c r="BA531" s="117">
        <v>5512.5</v>
      </c>
      <c r="BC531" s="334" t="s">
        <v>1026</v>
      </c>
      <c r="BE531" s="26">
        <v>4350</v>
      </c>
      <c r="BF531" s="26">
        <v>4350</v>
      </c>
      <c r="BH531" s="26">
        <v>4350</v>
      </c>
      <c r="BI531" s="244"/>
      <c r="BJ531" s="16">
        <f t="shared" si="259"/>
        <v>4350</v>
      </c>
      <c r="BK531" s="122">
        <f t="shared" si="260"/>
        <v>0</v>
      </c>
      <c r="BM531" s="117">
        <v>4350</v>
      </c>
      <c r="BN531" s="117">
        <v>4350</v>
      </c>
      <c r="BP531" s="334"/>
      <c r="BR531" s="117">
        <v>4350</v>
      </c>
      <c r="BS531" s="26">
        <v>4000</v>
      </c>
      <c r="BU531" s="26">
        <v>4350</v>
      </c>
      <c r="BV531" s="244">
        <v>450</v>
      </c>
      <c r="BW531" s="576">
        <f t="shared" si="261"/>
        <v>4800</v>
      </c>
      <c r="BX531" s="577">
        <f t="shared" si="262"/>
        <v>0.10344827586206896</v>
      </c>
      <c r="BZ531" s="166">
        <v>4800</v>
      </c>
      <c r="CA531" s="166">
        <v>4800</v>
      </c>
      <c r="CC531" s="753" t="s">
        <v>1443</v>
      </c>
      <c r="CE531" s="166">
        <v>4800</v>
      </c>
      <c r="CF531" s="166"/>
      <c r="CO531" s="16"/>
    </row>
    <row r="532" spans="1:93" x14ac:dyDescent="0.3">
      <c r="A532" s="11">
        <v>420</v>
      </c>
      <c r="B532" s="3" t="s">
        <v>2</v>
      </c>
      <c r="C532" s="37">
        <v>42002</v>
      </c>
      <c r="D532" s="37">
        <v>51920</v>
      </c>
      <c r="E532" s="49" t="s">
        <v>11</v>
      </c>
      <c r="F532" s="3" t="s">
        <v>2</v>
      </c>
      <c r="G532" s="3" t="s">
        <v>385</v>
      </c>
      <c r="H532" s="26">
        <v>5460</v>
      </c>
      <c r="I532" s="244"/>
      <c r="J532" s="16">
        <f>H532+I532</f>
        <v>5460</v>
      </c>
      <c r="K532" s="122">
        <f>IF(H532=0," ",(J532-H532)/H532)</f>
        <v>0</v>
      </c>
      <c r="M532" s="117">
        <v>5460</v>
      </c>
      <c r="N532" s="117">
        <v>5460</v>
      </c>
      <c r="P532" s="259"/>
      <c r="R532" s="26">
        <v>5460</v>
      </c>
      <c r="S532" s="26">
        <v>5460</v>
      </c>
      <c r="U532" s="26">
        <v>5460</v>
      </c>
      <c r="V532" s="244">
        <v>0</v>
      </c>
      <c r="W532" s="16">
        <f>U532+V532</f>
        <v>5460</v>
      </c>
      <c r="X532" s="122">
        <f>IF(U532=0," ",(W532-U532)/U532)</f>
        <v>0</v>
      </c>
      <c r="Z532" s="117">
        <v>5460</v>
      </c>
      <c r="AA532" s="117">
        <v>5460</v>
      </c>
      <c r="AC532" s="259"/>
      <c r="AE532" s="26">
        <v>5460</v>
      </c>
      <c r="AF532" s="200">
        <v>5460</v>
      </c>
      <c r="AH532" s="26">
        <v>5460</v>
      </c>
      <c r="AI532" s="244"/>
      <c r="AJ532" s="16">
        <f>AH532+AI532</f>
        <v>5460</v>
      </c>
      <c r="AK532" s="122">
        <f>IF(AH532=0," ",(AJ532-AH532)/AH532)</f>
        <v>0</v>
      </c>
      <c r="AM532" s="117">
        <v>5460</v>
      </c>
      <c r="AN532" s="117">
        <v>5460</v>
      </c>
      <c r="AP532" s="259"/>
      <c r="AR532" s="26">
        <v>5460</v>
      </c>
      <c r="AS532" s="26">
        <v>6060</v>
      </c>
      <c r="AU532" s="26">
        <f t="shared" si="256"/>
        <v>5460</v>
      </c>
      <c r="AV532" s="244"/>
      <c r="AW532" s="16">
        <f>AU532+AV532</f>
        <v>5460</v>
      </c>
      <c r="AX532" s="122">
        <f>IF(AU532=0," ",(AW532-AU532)/AU532)</f>
        <v>0</v>
      </c>
      <c r="AZ532" s="117">
        <v>5460</v>
      </c>
      <c r="BA532" s="117">
        <v>6060</v>
      </c>
      <c r="BC532" s="259"/>
      <c r="BE532" s="26">
        <v>5460</v>
      </c>
      <c r="BF532" s="26">
        <v>5460</v>
      </c>
      <c r="BH532" s="26">
        <v>5460</v>
      </c>
      <c r="BI532" s="244"/>
      <c r="BJ532" s="16">
        <f>BH532+BI532</f>
        <v>5460</v>
      </c>
      <c r="BK532" s="122">
        <f>IF(BH532=0," ",(BJ532-BH532)/BH532)</f>
        <v>0</v>
      </c>
      <c r="BM532" s="117">
        <v>5460</v>
      </c>
      <c r="BN532" s="117">
        <v>5460</v>
      </c>
      <c r="BP532" s="259"/>
      <c r="BR532" s="117">
        <v>5460</v>
      </c>
      <c r="BS532" s="26">
        <v>6370</v>
      </c>
      <c r="BU532" s="26">
        <v>5460</v>
      </c>
      <c r="BV532" s="244">
        <v>140</v>
      </c>
      <c r="BW532" s="576">
        <f>BU532+BV532</f>
        <v>5600</v>
      </c>
      <c r="BX532" s="577">
        <f>IF(BU532=0," ",(BW532-BU532)/BU532)</f>
        <v>2.564102564102564E-2</v>
      </c>
      <c r="BZ532" s="166">
        <v>5600</v>
      </c>
      <c r="CA532" s="166">
        <v>5600</v>
      </c>
      <c r="CC532" s="753" t="s">
        <v>1443</v>
      </c>
      <c r="CE532" s="166">
        <v>5600</v>
      </c>
      <c r="CF532" s="166"/>
      <c r="CO532" s="16"/>
    </row>
    <row r="533" spans="1:93" x14ac:dyDescent="0.3">
      <c r="A533" s="11">
        <v>420</v>
      </c>
      <c r="B533" s="3" t="s">
        <v>2</v>
      </c>
      <c r="C533" s="37">
        <v>42002</v>
      </c>
      <c r="D533" s="37">
        <v>51970</v>
      </c>
      <c r="E533" s="49" t="s">
        <v>11</v>
      </c>
      <c r="F533" s="3" t="s">
        <v>2</v>
      </c>
      <c r="G533" s="3" t="s">
        <v>386</v>
      </c>
      <c r="H533" s="26">
        <v>500</v>
      </c>
      <c r="I533" s="244"/>
      <c r="J533" s="16">
        <f>H533+I533</f>
        <v>500</v>
      </c>
      <c r="K533" s="122">
        <f>IF(H533=0," ",(J533-H533)/H533)</f>
        <v>0</v>
      </c>
      <c r="M533" s="117">
        <v>500</v>
      </c>
      <c r="N533" s="117">
        <v>500</v>
      </c>
      <c r="P533" s="259"/>
      <c r="R533" s="26">
        <v>500</v>
      </c>
      <c r="S533" s="26">
        <v>500</v>
      </c>
      <c r="U533" s="26">
        <v>500</v>
      </c>
      <c r="V533" s="244">
        <v>0</v>
      </c>
      <c r="W533" s="16">
        <f>U533+V533</f>
        <v>500</v>
      </c>
      <c r="X533" s="122">
        <f>IF(U533=0," ",(W533-U533)/U533)</f>
        <v>0</v>
      </c>
      <c r="Z533" s="117">
        <v>500</v>
      </c>
      <c r="AA533" s="117">
        <v>500</v>
      </c>
      <c r="AC533" s="259"/>
      <c r="AE533" s="26">
        <v>500</v>
      </c>
      <c r="AF533" s="200">
        <v>410</v>
      </c>
      <c r="AH533" s="26">
        <v>500</v>
      </c>
      <c r="AI533" s="244"/>
      <c r="AJ533" s="16">
        <f>AH533+AI533</f>
        <v>500</v>
      </c>
      <c r="AK533" s="122">
        <f>IF(AH533=0," ",(AJ533-AH533)/AH533)</f>
        <v>0</v>
      </c>
      <c r="AM533" s="117">
        <v>500</v>
      </c>
      <c r="AN533" s="117">
        <v>500</v>
      </c>
      <c r="AP533" s="259"/>
      <c r="AR533" s="26">
        <v>500</v>
      </c>
      <c r="AS533" s="26">
        <v>350</v>
      </c>
      <c r="AU533" s="26">
        <f t="shared" si="256"/>
        <v>500</v>
      </c>
      <c r="AV533" s="244"/>
      <c r="AW533" s="16">
        <f>AU533+AV533</f>
        <v>500</v>
      </c>
      <c r="AX533" s="122">
        <f>IF(AU533=0," ",(AW533-AU533)/AU533)</f>
        <v>0</v>
      </c>
      <c r="AZ533" s="117">
        <v>500</v>
      </c>
      <c r="BA533" s="117">
        <v>350</v>
      </c>
      <c r="BC533" s="259"/>
      <c r="BE533" s="26">
        <v>500</v>
      </c>
      <c r="BF533" s="26">
        <v>470</v>
      </c>
      <c r="BH533" s="26">
        <v>500</v>
      </c>
      <c r="BI533" s="244"/>
      <c r="BJ533" s="16">
        <f>BH533+BI533</f>
        <v>500</v>
      </c>
      <c r="BK533" s="122">
        <f>IF(BH533=0," ",(BJ533-BH533)/BH533)</f>
        <v>0</v>
      </c>
      <c r="BM533" s="117">
        <v>500</v>
      </c>
      <c r="BN533" s="117">
        <v>500</v>
      </c>
      <c r="BP533" s="259"/>
      <c r="BR533" s="117">
        <v>500</v>
      </c>
      <c r="BS533" s="26">
        <v>40</v>
      </c>
      <c r="BU533" s="26">
        <v>500</v>
      </c>
      <c r="BV533" s="749">
        <v>-500</v>
      </c>
      <c r="BW533" s="576">
        <f>BU533+BV533</f>
        <v>0</v>
      </c>
      <c r="BX533" s="577">
        <f>IF(BU533=0," ",(BW533-BU533)/BU533)</f>
        <v>-1</v>
      </c>
      <c r="BZ533" s="166">
        <v>0</v>
      </c>
      <c r="CA533" s="166">
        <v>0</v>
      </c>
      <c r="CC533" s="753" t="s">
        <v>1576</v>
      </c>
      <c r="CE533" s="166">
        <v>0</v>
      </c>
      <c r="CF533" s="166"/>
      <c r="CO533" s="16"/>
    </row>
    <row r="534" spans="1:93" x14ac:dyDescent="0.3">
      <c r="A534" s="12"/>
      <c r="H534" s="145">
        <f>SUM(H526:H533)</f>
        <v>303144</v>
      </c>
      <c r="I534" s="32">
        <f>SUM(I526:I533)</f>
        <v>2050</v>
      </c>
      <c r="J534" s="32">
        <f>SUM(J526:J533)</f>
        <v>305194</v>
      </c>
      <c r="K534" s="128">
        <f>IF(H534=0," ",(J534-H534)/H534)</f>
        <v>6.7624627239859601E-3</v>
      </c>
      <c r="M534" s="32">
        <f>SUM(M526:M533)</f>
        <v>305194</v>
      </c>
      <c r="N534" s="32">
        <f>SUM(N526:N533)</f>
        <v>305194</v>
      </c>
      <c r="P534" s="141">
        <f>SUM(P526:P533)</f>
        <v>0</v>
      </c>
      <c r="R534" s="32">
        <f>SUM(R526:R533)</f>
        <v>305194</v>
      </c>
      <c r="S534" s="32">
        <f>SUM(S526:S533)</f>
        <v>308316.86000000004</v>
      </c>
      <c r="U534" s="32">
        <f>SUM(U526:U533)</f>
        <v>305194</v>
      </c>
      <c r="V534" s="32">
        <f>SUM(V526:V533)</f>
        <v>889</v>
      </c>
      <c r="W534" s="32">
        <f>SUM(W526:W533)</f>
        <v>306083</v>
      </c>
      <c r="X534" s="128">
        <f>IF(U534=0," ",(W534-U534)/U534)</f>
        <v>2.9129013021225842E-3</v>
      </c>
      <c r="Z534" s="32">
        <f>SUM(Z526:Z533)</f>
        <v>306083</v>
      </c>
      <c r="AA534" s="32">
        <f>SUM(AA526:AA533)</f>
        <v>306083</v>
      </c>
      <c r="AC534" s="141"/>
      <c r="AE534" s="32">
        <f>SUM(AE526:AE533)</f>
        <v>306083</v>
      </c>
      <c r="AF534" s="274">
        <f>SUM(AF526:AF533)</f>
        <v>313438.55</v>
      </c>
      <c r="AH534" s="145">
        <f>SUM(AH526:AH533)</f>
        <v>306083</v>
      </c>
      <c r="AI534" s="145">
        <f>SUM(AI526:AI533)</f>
        <v>23389</v>
      </c>
      <c r="AJ534" s="145">
        <f>SUM(AJ526:AJ533)</f>
        <v>329472</v>
      </c>
      <c r="AK534" s="128">
        <f>IF(AH534=0," ",(AJ534-AH534)/AH534)</f>
        <v>7.6413913873034436E-2</v>
      </c>
      <c r="AM534" s="145">
        <f>SUM(AM526:AM533)</f>
        <v>329472</v>
      </c>
      <c r="AN534" s="145">
        <f>SUM(AN526:AN533)</f>
        <v>329472</v>
      </c>
      <c r="AP534" s="141"/>
      <c r="AR534" s="145">
        <f>SUM(AR526:AR533)</f>
        <v>329472</v>
      </c>
      <c r="AS534" s="145">
        <f>SUM(AS526:AS533)</f>
        <v>298505.76999999996</v>
      </c>
      <c r="AU534" s="145">
        <f>SUM(AU526:AU533)</f>
        <v>329472</v>
      </c>
      <c r="AV534" s="145">
        <f>SUM(AV526:AV533)</f>
        <v>-289</v>
      </c>
      <c r="AW534" s="145">
        <f>SUM(AW526:AW533)</f>
        <v>329183</v>
      </c>
      <c r="AX534" s="128">
        <f>IF(AU534=0," ",(AW534-AU534)/AU534)</f>
        <v>-8.7716103341103338E-4</v>
      </c>
      <c r="AZ534" s="145">
        <f>SUM(AZ526:AZ533)</f>
        <v>329102</v>
      </c>
      <c r="BA534" s="145">
        <f>SUM(BA526:BA533)</f>
        <v>298505.76999999996</v>
      </c>
      <c r="BC534" s="141"/>
      <c r="BE534" s="145">
        <f>SUM(BE526:BE533)</f>
        <v>328766</v>
      </c>
      <c r="BF534" s="145">
        <f>SUM(BF526:BF533)</f>
        <v>310895.41000000003</v>
      </c>
      <c r="BH534" s="145">
        <f>SUM(BH526:BH533)</f>
        <v>328766</v>
      </c>
      <c r="BI534" s="145">
        <f>SUM(BI526:BI533)</f>
        <v>2276</v>
      </c>
      <c r="BJ534" s="145">
        <f>SUM(BJ526:BJ533)</f>
        <v>331042</v>
      </c>
      <c r="BK534" s="128">
        <f>IF(BH534=0," ",(BJ534-BH534)/BH534)</f>
        <v>6.9228569864280371E-3</v>
      </c>
      <c r="BM534" s="145">
        <f>SUM(BM526:BM533)</f>
        <v>331042</v>
      </c>
      <c r="BN534" s="145">
        <f>SUM(BN526:BN533)</f>
        <v>331042</v>
      </c>
      <c r="BP534" s="141"/>
      <c r="BR534" s="145">
        <f>SUM(BR526:BR533)</f>
        <v>331042</v>
      </c>
      <c r="BS534" s="145">
        <f>SUM(BS526:BS533)</f>
        <v>160189.91</v>
      </c>
      <c r="BU534" s="145">
        <f>SUM(BU526:BU533)</f>
        <v>331042</v>
      </c>
      <c r="BV534" s="145">
        <f>SUM(BV526:BV533)</f>
        <v>13748</v>
      </c>
      <c r="BW534" s="597">
        <f>SUM(BW526:BW533)</f>
        <v>344790</v>
      </c>
      <c r="BX534" s="596">
        <f>IF(BU534=0," ",(BW534-BU534)/BU534)</f>
        <v>4.1529473601536963E-2</v>
      </c>
      <c r="BZ534" s="597">
        <f>SUM(BZ526:BZ533)</f>
        <v>344790</v>
      </c>
      <c r="CA534" s="597">
        <f>SUM(CA526:CA533)</f>
        <v>344790</v>
      </c>
      <c r="CC534" s="770"/>
      <c r="CE534" s="597">
        <f>SUM(CE526:CE533)</f>
        <v>344790</v>
      </c>
      <c r="CF534" s="597">
        <f>SUM(CF526:CF533)</f>
        <v>0</v>
      </c>
      <c r="CO534" s="16"/>
    </row>
    <row r="535" spans="1:93" x14ac:dyDescent="0.3">
      <c r="H535" s="26"/>
      <c r="AS535" s="16"/>
      <c r="CO535" s="16"/>
    </row>
    <row r="536" spans="1:93" s="19" customFormat="1" x14ac:dyDescent="0.3">
      <c r="A536" s="27"/>
      <c r="B536" s="8"/>
      <c r="C536" s="42"/>
      <c r="D536" s="42"/>
      <c r="E536" s="54"/>
      <c r="F536" s="8"/>
      <c r="G536" s="57" t="s">
        <v>183</v>
      </c>
      <c r="H536" s="28">
        <f>H524+H534</f>
        <v>400044</v>
      </c>
      <c r="I536" s="28">
        <f>I524+I534</f>
        <v>6033</v>
      </c>
      <c r="J536" s="28">
        <f>J524+J534</f>
        <v>406077</v>
      </c>
      <c r="K536" s="123">
        <f>IF(H536=0," ",(J536-H536)/H536)</f>
        <v>1.5080841107478177E-2</v>
      </c>
      <c r="M536" s="28">
        <f>M524+M534</f>
        <v>406077</v>
      </c>
      <c r="N536" s="28">
        <f>N524+N534</f>
        <v>406077</v>
      </c>
      <c r="P536" s="139">
        <f>P524+P534</f>
        <v>0</v>
      </c>
      <c r="R536" s="28">
        <f>R524+R534</f>
        <v>406077</v>
      </c>
      <c r="S536" s="28">
        <f>S524+S534</f>
        <v>409199.66000000003</v>
      </c>
      <c r="U536" s="28">
        <f>U524+U534</f>
        <v>406077</v>
      </c>
      <c r="V536" s="28">
        <f>V524+V534</f>
        <v>5652</v>
      </c>
      <c r="W536" s="28">
        <f>W524+W534</f>
        <v>411729</v>
      </c>
      <c r="X536" s="123">
        <f>IF(U536=0," ",(W536-U536)/U536)</f>
        <v>1.3918542542424221E-2</v>
      </c>
      <c r="Z536" s="28">
        <f>Z524+Z534</f>
        <v>411729</v>
      </c>
      <c r="AA536" s="28">
        <f>AA524+AA534</f>
        <v>411729</v>
      </c>
      <c r="AC536" s="139"/>
      <c r="AE536" s="28">
        <f>AE524+AE534</f>
        <v>411729</v>
      </c>
      <c r="AF536" s="201">
        <f>AF524+AF534</f>
        <v>419084.55</v>
      </c>
      <c r="AH536" s="28">
        <v>405769</v>
      </c>
      <c r="AI536" s="28">
        <f>AI524+AI534</f>
        <v>29240</v>
      </c>
      <c r="AJ536" s="28">
        <f>AJ524+AJ534</f>
        <v>440969</v>
      </c>
      <c r="AK536" s="123">
        <f>IF(AH536=0," ",(AJ536-AH536)/AH536)</f>
        <v>8.6748864501723894E-2</v>
      </c>
      <c r="AM536" s="28">
        <f>AM524+AM534</f>
        <v>440969</v>
      </c>
      <c r="AN536" s="28">
        <f>AN524+AN534</f>
        <v>440969</v>
      </c>
      <c r="AP536" s="139"/>
      <c r="AR536" s="28">
        <f>AR524+AR534</f>
        <v>440969</v>
      </c>
      <c r="AS536" s="28">
        <f>AS524+AS534</f>
        <v>400559.76999999996</v>
      </c>
      <c r="AU536" s="28">
        <f>AU524+AU534</f>
        <v>440969</v>
      </c>
      <c r="AV536" s="28">
        <f>AV524+AV534</f>
        <v>-15303</v>
      </c>
      <c r="AW536" s="28">
        <f>AW524+AW534</f>
        <v>425666</v>
      </c>
      <c r="AX536" s="123">
        <f>IF(AU536=0," ",(AW536-AU536)/AU536)</f>
        <v>-3.4703119720433863E-2</v>
      </c>
      <c r="AZ536" s="28">
        <f>AZ524+AZ534</f>
        <v>425209</v>
      </c>
      <c r="BA536" s="28">
        <f>BA524+BA534</f>
        <v>400559.76999999996</v>
      </c>
      <c r="BC536" s="139"/>
      <c r="BE536" s="28">
        <f>BE524+BE534</f>
        <v>423391</v>
      </c>
      <c r="BF536" s="28">
        <f>BF524+BF534</f>
        <v>391262.65</v>
      </c>
      <c r="BG536" s="9"/>
      <c r="BH536" s="28">
        <f>BH524+BH534</f>
        <v>423391</v>
      </c>
      <c r="BI536" s="28">
        <f>BI524+BI534</f>
        <v>-25503</v>
      </c>
      <c r="BJ536" s="28">
        <f>BJ524+BJ534</f>
        <v>397888</v>
      </c>
      <c r="BK536" s="123">
        <f>IF(BH536=0," ",(BJ536-BH536)/BH536)</f>
        <v>-6.0235101832585007E-2</v>
      </c>
      <c r="BM536" s="28">
        <f>BM524+BM534</f>
        <v>397888</v>
      </c>
      <c r="BN536" s="28">
        <f>BN524+BN534</f>
        <v>397888</v>
      </c>
      <c r="BP536" s="139"/>
      <c r="BR536" s="28">
        <f>BR524+BR534</f>
        <v>397888</v>
      </c>
      <c r="BS536" s="28">
        <f>BS524+BS534</f>
        <v>190391.43</v>
      </c>
      <c r="BT536" s="9"/>
      <c r="BU536" s="28">
        <f>BU524+BU534</f>
        <v>397888</v>
      </c>
      <c r="BV536" s="532">
        <f>BV524+BV534</f>
        <v>13858</v>
      </c>
      <c r="BW536" s="591">
        <f>BW524+BW534</f>
        <v>411746</v>
      </c>
      <c r="BX536" s="579">
        <f>IF(BU536=0," ",(BW536-BU536)/BU536)</f>
        <v>3.4828896573910244E-2</v>
      </c>
      <c r="BY536" s="580"/>
      <c r="BZ536" s="591">
        <f>BZ524+BZ534</f>
        <v>411746</v>
      </c>
      <c r="CA536" s="591">
        <f>CA524+CA534</f>
        <v>411746</v>
      </c>
      <c r="CB536" s="580"/>
      <c r="CC536" s="769"/>
      <c r="CD536" s="580"/>
      <c r="CE536" s="591">
        <f>CE524+CE534</f>
        <v>411746</v>
      </c>
      <c r="CF536" s="591">
        <f>CF524+CF534</f>
        <v>0</v>
      </c>
      <c r="CG536" s="9"/>
      <c r="CH536" s="815"/>
      <c r="CI536" s="815"/>
      <c r="CJ536" s="887"/>
      <c r="CO536" s="16"/>
    </row>
    <row r="537" spans="1:93" x14ac:dyDescent="0.3">
      <c r="H537" s="26"/>
      <c r="AR537" s="26"/>
      <c r="AS537" s="16"/>
      <c r="CO537" s="16"/>
    </row>
    <row r="538" spans="1:93" x14ac:dyDescent="0.3">
      <c r="A538" s="11">
        <v>420</v>
      </c>
      <c r="B538" s="3" t="s">
        <v>2</v>
      </c>
      <c r="C538" s="37">
        <v>42005</v>
      </c>
      <c r="D538" s="37">
        <v>52100</v>
      </c>
      <c r="E538" s="49" t="s">
        <v>118</v>
      </c>
      <c r="F538" s="3" t="s">
        <v>2</v>
      </c>
      <c r="G538" s="3" t="s">
        <v>387</v>
      </c>
      <c r="H538" s="26">
        <v>6180</v>
      </c>
      <c r="I538" s="244"/>
      <c r="J538" s="16">
        <f t="shared" ref="J538:J575" si="263">H538+I538</f>
        <v>6180</v>
      </c>
      <c r="K538" s="122">
        <f t="shared" ref="K538:K575" si="264">IF(H538=0," ",(J538-H538)/H538)</f>
        <v>0</v>
      </c>
      <c r="M538" s="117">
        <v>6180</v>
      </c>
      <c r="N538" s="117">
        <v>6180</v>
      </c>
      <c r="P538" s="259"/>
      <c r="R538" s="26">
        <v>6180</v>
      </c>
      <c r="S538" s="26">
        <v>5907.44</v>
      </c>
      <c r="U538" s="26">
        <v>6180</v>
      </c>
      <c r="V538" s="244">
        <v>0</v>
      </c>
      <c r="W538" s="16">
        <f t="shared" ref="W538:W575" si="265">U538+V538</f>
        <v>6180</v>
      </c>
      <c r="X538" s="122">
        <f t="shared" ref="X538:X575" si="266">IF(U538=0," ",(W538-U538)/U538)</f>
        <v>0</v>
      </c>
      <c r="Z538" s="117">
        <v>6180</v>
      </c>
      <c r="AA538" s="117">
        <v>6180</v>
      </c>
      <c r="AC538" s="259"/>
      <c r="AE538" s="26">
        <v>6180</v>
      </c>
      <c r="AF538" s="200">
        <v>5448.84</v>
      </c>
      <c r="AH538" s="26">
        <v>6180</v>
      </c>
      <c r="AI538" s="244"/>
      <c r="AJ538" s="16">
        <f t="shared" ref="AJ538:AJ575" si="267">AH538+AI538</f>
        <v>6180</v>
      </c>
      <c r="AK538" s="122">
        <f t="shared" ref="AK538:AK575" si="268">IF(AH538=0," ",(AJ538-AH538)/AH538)</f>
        <v>0</v>
      </c>
      <c r="AM538" s="117">
        <v>6180</v>
      </c>
      <c r="AN538" s="117">
        <v>6180</v>
      </c>
      <c r="AP538" s="259"/>
      <c r="AR538" s="26">
        <v>6180</v>
      </c>
      <c r="AS538" s="26">
        <v>5500.47</v>
      </c>
      <c r="AU538" s="26">
        <f t="shared" ref="AU538:AU545" si="269">AR538</f>
        <v>6180</v>
      </c>
      <c r="AV538" s="244"/>
      <c r="AW538" s="16">
        <f t="shared" ref="AW538:AW575" si="270">AU538+AV538</f>
        <v>6180</v>
      </c>
      <c r="AX538" s="122">
        <f t="shared" ref="AX538:AX575" si="271">IF(AU538=0," ",(AW538-AU538)/AU538)</f>
        <v>0</v>
      </c>
      <c r="AZ538" s="117">
        <v>6180</v>
      </c>
      <c r="BA538" s="117">
        <v>5500.47</v>
      </c>
      <c r="BC538" s="259"/>
      <c r="BE538" s="26">
        <v>6180</v>
      </c>
      <c r="BF538" s="26">
        <v>7010.14</v>
      </c>
      <c r="BH538" s="26">
        <v>6180</v>
      </c>
      <c r="BI538" s="244"/>
      <c r="BJ538" s="16">
        <f t="shared" ref="BJ538:BJ575" si="272">BH538+BI538</f>
        <v>6180</v>
      </c>
      <c r="BK538" s="122">
        <f t="shared" ref="BK538:BK575" si="273">IF(BH538=0," ",(BJ538-BH538)/BH538)</f>
        <v>0</v>
      </c>
      <c r="BM538" s="117">
        <v>6180</v>
      </c>
      <c r="BN538" s="117">
        <v>6180</v>
      </c>
      <c r="BP538" s="259"/>
      <c r="BR538" s="117">
        <v>6180</v>
      </c>
      <c r="BS538" s="26">
        <v>3385.52</v>
      </c>
      <c r="BU538" s="26">
        <v>6180</v>
      </c>
      <c r="BV538" s="244"/>
      <c r="BW538" s="576">
        <f t="shared" ref="BW538:BW575" si="274">BU538+BV538</f>
        <v>6180</v>
      </c>
      <c r="BX538" s="577">
        <f t="shared" ref="BX538:BX573" si="275">IF(BU538=0," ",(BW538-BU538)/BU538)</f>
        <v>0</v>
      </c>
      <c r="BZ538" s="166">
        <v>6180</v>
      </c>
      <c r="CA538" s="166">
        <v>6180</v>
      </c>
      <c r="CC538" s="753"/>
      <c r="CE538" s="166">
        <v>6180</v>
      </c>
      <c r="CF538" s="166"/>
      <c r="CO538" s="16"/>
    </row>
    <row r="539" spans="1:93" x14ac:dyDescent="0.3">
      <c r="A539" s="11">
        <v>420</v>
      </c>
      <c r="B539" s="3" t="s">
        <v>2</v>
      </c>
      <c r="C539" s="37">
        <v>42005</v>
      </c>
      <c r="D539" s="37">
        <v>52200</v>
      </c>
      <c r="E539" s="49" t="s">
        <v>118</v>
      </c>
      <c r="F539" s="3" t="s">
        <v>2</v>
      </c>
      <c r="G539" s="3" t="s">
        <v>931</v>
      </c>
      <c r="H539" s="26">
        <v>4000</v>
      </c>
      <c r="I539" s="244"/>
      <c r="J539" s="16">
        <f t="shared" si="263"/>
        <v>4000</v>
      </c>
      <c r="K539" s="122">
        <f t="shared" si="264"/>
        <v>0</v>
      </c>
      <c r="M539" s="117">
        <v>4000</v>
      </c>
      <c r="N539" s="117">
        <v>4000</v>
      </c>
      <c r="P539" s="259"/>
      <c r="R539" s="26">
        <v>4000</v>
      </c>
      <c r="S539" s="26">
        <v>4038.66</v>
      </c>
      <c r="U539" s="26">
        <v>4000</v>
      </c>
      <c r="V539" s="244">
        <v>0</v>
      </c>
      <c r="W539" s="16">
        <f t="shared" si="265"/>
        <v>4000</v>
      </c>
      <c r="X539" s="122">
        <f t="shared" si="266"/>
        <v>0</v>
      </c>
      <c r="Z539" s="117">
        <v>4000</v>
      </c>
      <c r="AA539" s="117">
        <v>4000</v>
      </c>
      <c r="AC539" s="259"/>
      <c r="AE539" s="26">
        <v>4000</v>
      </c>
      <c r="AF539" s="200">
        <v>4459.67</v>
      </c>
      <c r="AH539" s="26">
        <v>4000</v>
      </c>
      <c r="AI539" s="244"/>
      <c r="AJ539" s="16">
        <f t="shared" si="267"/>
        <v>4000</v>
      </c>
      <c r="AK539" s="122">
        <f t="shared" si="268"/>
        <v>0</v>
      </c>
      <c r="AM539" s="117">
        <v>4000</v>
      </c>
      <c r="AN539" s="117">
        <v>4000</v>
      </c>
      <c r="AP539" s="259"/>
      <c r="AR539" s="26">
        <v>4000</v>
      </c>
      <c r="AS539" s="26">
        <v>3470.36</v>
      </c>
      <c r="AU539" s="26">
        <f t="shared" si="269"/>
        <v>4000</v>
      </c>
      <c r="AV539" s="244"/>
      <c r="AW539" s="16">
        <f t="shared" si="270"/>
        <v>4000</v>
      </c>
      <c r="AX539" s="122">
        <f t="shared" si="271"/>
        <v>0</v>
      </c>
      <c r="AZ539" s="117">
        <v>4000</v>
      </c>
      <c r="BA539" s="117">
        <v>3470.36</v>
      </c>
      <c r="BC539" s="259"/>
      <c r="BE539" s="26">
        <v>4000</v>
      </c>
      <c r="BF539" s="26">
        <v>3928.81</v>
      </c>
      <c r="BH539" s="26">
        <v>4000</v>
      </c>
      <c r="BI539" s="244"/>
      <c r="BJ539" s="16">
        <f t="shared" si="272"/>
        <v>4000</v>
      </c>
      <c r="BK539" s="122">
        <f t="shared" si="273"/>
        <v>0</v>
      </c>
      <c r="BM539" s="117">
        <v>4000</v>
      </c>
      <c r="BN539" s="117">
        <v>4000</v>
      </c>
      <c r="BP539" s="259"/>
      <c r="BR539" s="117">
        <v>4000</v>
      </c>
      <c r="BS539" s="26">
        <v>383.56</v>
      </c>
      <c r="BU539" s="26">
        <v>4000</v>
      </c>
      <c r="BV539" s="244"/>
      <c r="BW539" s="576">
        <f t="shared" si="274"/>
        <v>4000</v>
      </c>
      <c r="BX539" s="577">
        <f t="shared" si="275"/>
        <v>0</v>
      </c>
      <c r="BZ539" s="166">
        <v>4000</v>
      </c>
      <c r="CA539" s="166">
        <v>4000</v>
      </c>
      <c r="CC539" s="753"/>
      <c r="CE539" s="166">
        <v>4000</v>
      </c>
      <c r="CF539" s="166"/>
      <c r="CO539" s="16"/>
    </row>
    <row r="540" spans="1:93" x14ac:dyDescent="0.3">
      <c r="A540" s="11">
        <v>420</v>
      </c>
      <c r="B540" s="3" t="s">
        <v>2</v>
      </c>
      <c r="C540" s="37">
        <v>42005</v>
      </c>
      <c r="D540" s="37">
        <v>52400</v>
      </c>
      <c r="E540" s="49" t="s">
        <v>118</v>
      </c>
      <c r="F540" s="3" t="s">
        <v>2</v>
      </c>
      <c r="G540" s="3" t="s">
        <v>388</v>
      </c>
      <c r="H540" s="26">
        <v>5000</v>
      </c>
      <c r="I540" s="244">
        <v>100</v>
      </c>
      <c r="J540" s="16">
        <f t="shared" si="263"/>
        <v>5100</v>
      </c>
      <c r="K540" s="122">
        <f t="shared" si="264"/>
        <v>0.02</v>
      </c>
      <c r="M540" s="117">
        <v>5100</v>
      </c>
      <c r="N540" s="117">
        <v>5100</v>
      </c>
      <c r="P540" s="259"/>
      <c r="R540" s="26">
        <v>5100</v>
      </c>
      <c r="S540" s="26">
        <v>7822</v>
      </c>
      <c r="U540" s="26">
        <v>5100</v>
      </c>
      <c r="V540" s="244">
        <v>0</v>
      </c>
      <c r="W540" s="16">
        <f t="shared" si="265"/>
        <v>5100</v>
      </c>
      <c r="X540" s="122">
        <f t="shared" si="266"/>
        <v>0</v>
      </c>
      <c r="Z540" s="117">
        <v>5100</v>
      </c>
      <c r="AA540" s="117">
        <v>5100</v>
      </c>
      <c r="AC540" s="259"/>
      <c r="AE540" s="26">
        <v>5100</v>
      </c>
      <c r="AF540" s="200">
        <v>7249.3</v>
      </c>
      <c r="AH540" s="26">
        <v>5100</v>
      </c>
      <c r="AI540" s="244"/>
      <c r="AJ540" s="16">
        <f t="shared" si="267"/>
        <v>5100</v>
      </c>
      <c r="AK540" s="122">
        <f t="shared" si="268"/>
        <v>0</v>
      </c>
      <c r="AM540" s="117">
        <v>5100</v>
      </c>
      <c r="AN540" s="117">
        <v>5100</v>
      </c>
      <c r="AP540" s="259"/>
      <c r="AR540" s="26">
        <v>5100</v>
      </c>
      <c r="AS540" s="26">
        <v>9163.5400000000009</v>
      </c>
      <c r="AU540" s="26">
        <f t="shared" si="269"/>
        <v>5100</v>
      </c>
      <c r="AV540" s="244"/>
      <c r="AW540" s="16">
        <f t="shared" si="270"/>
        <v>5100</v>
      </c>
      <c r="AX540" s="122">
        <f t="shared" si="271"/>
        <v>0</v>
      </c>
      <c r="AZ540" s="117">
        <v>5100</v>
      </c>
      <c r="BA540" s="117">
        <v>9163.5400000000009</v>
      </c>
      <c r="BC540" s="259"/>
      <c r="BE540" s="26">
        <v>5100</v>
      </c>
      <c r="BF540" s="26">
        <v>5803.54</v>
      </c>
      <c r="BH540" s="26">
        <v>5100</v>
      </c>
      <c r="BI540" s="403">
        <v>1500</v>
      </c>
      <c r="BJ540" s="16">
        <f t="shared" si="272"/>
        <v>6600</v>
      </c>
      <c r="BK540" s="122">
        <f t="shared" si="273"/>
        <v>0.29411764705882354</v>
      </c>
      <c r="BM540" s="117">
        <v>6600</v>
      </c>
      <c r="BN540" s="117">
        <v>6600</v>
      </c>
      <c r="BP540" s="399" t="s">
        <v>1120</v>
      </c>
      <c r="BR540" s="117">
        <v>6600</v>
      </c>
      <c r="BS540" s="26">
        <v>4372.4799999999996</v>
      </c>
      <c r="BU540" s="26">
        <v>6600</v>
      </c>
      <c r="BV540" s="244"/>
      <c r="BW540" s="576">
        <f t="shared" si="274"/>
        <v>6600</v>
      </c>
      <c r="BX540" s="577">
        <f t="shared" si="275"/>
        <v>0</v>
      </c>
      <c r="BZ540" s="166">
        <v>6600</v>
      </c>
      <c r="CA540" s="166">
        <v>6600</v>
      </c>
      <c r="CC540" s="754"/>
      <c r="CE540" s="166">
        <v>6600</v>
      </c>
      <c r="CF540" s="166"/>
      <c r="CO540" s="16"/>
    </row>
    <row r="541" spans="1:93" x14ac:dyDescent="0.3">
      <c r="A541" s="11">
        <v>420</v>
      </c>
      <c r="B541" s="3" t="s">
        <v>2</v>
      </c>
      <c r="C541" s="37">
        <v>42005</v>
      </c>
      <c r="D541" s="37">
        <v>52460</v>
      </c>
      <c r="E541" s="49" t="s">
        <v>118</v>
      </c>
      <c r="F541" s="3" t="s">
        <v>2</v>
      </c>
      <c r="G541" s="3" t="s">
        <v>389</v>
      </c>
      <c r="H541" s="26">
        <v>6180</v>
      </c>
      <c r="I541" s="244"/>
      <c r="J541" s="16">
        <f t="shared" si="263"/>
        <v>6180</v>
      </c>
      <c r="K541" s="122">
        <f t="shared" si="264"/>
        <v>0</v>
      </c>
      <c r="M541" s="117">
        <v>6180</v>
      </c>
      <c r="N541" s="117">
        <v>6180</v>
      </c>
      <c r="P541" s="259"/>
      <c r="R541" s="26">
        <v>6180</v>
      </c>
      <c r="S541" s="26">
        <v>5996.54</v>
      </c>
      <c r="U541" s="26">
        <v>6180</v>
      </c>
      <c r="V541" s="244">
        <v>0</v>
      </c>
      <c r="W541" s="16">
        <f t="shared" si="265"/>
        <v>6180</v>
      </c>
      <c r="X541" s="122">
        <f t="shared" si="266"/>
        <v>0</v>
      </c>
      <c r="Z541" s="117">
        <v>6180</v>
      </c>
      <c r="AA541" s="117">
        <v>6180</v>
      </c>
      <c r="AC541" s="259"/>
      <c r="AE541" s="26">
        <v>6180</v>
      </c>
      <c r="AF541" s="200">
        <v>8702.83</v>
      </c>
      <c r="AH541" s="26">
        <v>6180</v>
      </c>
      <c r="AI541" s="244"/>
      <c r="AJ541" s="16">
        <f t="shared" si="267"/>
        <v>6180</v>
      </c>
      <c r="AK541" s="122">
        <f t="shared" si="268"/>
        <v>0</v>
      </c>
      <c r="AM541" s="117">
        <v>6180</v>
      </c>
      <c r="AN541" s="117">
        <v>6180</v>
      </c>
      <c r="AP541" s="259"/>
      <c r="AR541" s="26">
        <v>6180</v>
      </c>
      <c r="AS541" s="26">
        <v>5361.22</v>
      </c>
      <c r="AU541" s="26">
        <f t="shared" si="269"/>
        <v>6180</v>
      </c>
      <c r="AV541" s="244"/>
      <c r="AW541" s="16">
        <f t="shared" si="270"/>
        <v>6180</v>
      </c>
      <c r="AX541" s="122">
        <f t="shared" si="271"/>
        <v>0</v>
      </c>
      <c r="AZ541" s="117">
        <v>6180</v>
      </c>
      <c r="BA541" s="117">
        <v>5361.22</v>
      </c>
      <c r="BC541" s="259"/>
      <c r="BE541" s="26">
        <v>6180</v>
      </c>
      <c r="BF541" s="26">
        <v>18650.52</v>
      </c>
      <c r="BH541" s="26">
        <v>6180</v>
      </c>
      <c r="BI541" s="403">
        <v>3315</v>
      </c>
      <c r="BJ541" s="16">
        <f t="shared" si="272"/>
        <v>9495</v>
      </c>
      <c r="BK541" s="122">
        <f t="shared" si="273"/>
        <v>0.53640776699029125</v>
      </c>
      <c r="BM541" s="117">
        <v>9495</v>
      </c>
      <c r="BN541" s="117">
        <v>9495</v>
      </c>
      <c r="BP541" s="399" t="s">
        <v>1120</v>
      </c>
      <c r="BR541" s="117">
        <v>9495</v>
      </c>
      <c r="BS541" s="26">
        <v>3027.52</v>
      </c>
      <c r="BU541" s="26">
        <v>9495</v>
      </c>
      <c r="BV541" s="244"/>
      <c r="BW541" s="576">
        <f t="shared" si="274"/>
        <v>9495</v>
      </c>
      <c r="BX541" s="577">
        <f t="shared" si="275"/>
        <v>0</v>
      </c>
      <c r="BZ541" s="166">
        <v>9495</v>
      </c>
      <c r="CA541" s="166">
        <v>9495</v>
      </c>
      <c r="CC541" s="754"/>
      <c r="CE541" s="166">
        <v>9495</v>
      </c>
      <c r="CF541" s="166"/>
      <c r="CO541" s="16"/>
    </row>
    <row r="542" spans="1:93" x14ac:dyDescent="0.3">
      <c r="A542" s="11">
        <v>420</v>
      </c>
      <c r="B542" s="3" t="s">
        <v>2</v>
      </c>
      <c r="C542" s="37">
        <v>42005</v>
      </c>
      <c r="D542" s="37">
        <v>52470</v>
      </c>
      <c r="E542" s="49" t="s">
        <v>118</v>
      </c>
      <c r="F542" s="3" t="s">
        <v>2</v>
      </c>
      <c r="G542" s="3" t="s">
        <v>1114</v>
      </c>
      <c r="H542" s="26">
        <v>5450</v>
      </c>
      <c r="I542" s="244"/>
      <c r="J542" s="16">
        <f t="shared" si="263"/>
        <v>5450</v>
      </c>
      <c r="K542" s="122">
        <f t="shared" si="264"/>
        <v>0</v>
      </c>
      <c r="M542" s="117">
        <v>5450</v>
      </c>
      <c r="N542" s="117">
        <v>5450</v>
      </c>
      <c r="P542" s="259"/>
      <c r="R542" s="26">
        <v>5450</v>
      </c>
      <c r="S542" s="26">
        <v>9938.48</v>
      </c>
      <c r="U542" s="26">
        <v>5450</v>
      </c>
      <c r="V542" s="244">
        <v>550</v>
      </c>
      <c r="W542" s="16">
        <f t="shared" si="265"/>
        <v>6000</v>
      </c>
      <c r="X542" s="122">
        <f t="shared" si="266"/>
        <v>0.10091743119266056</v>
      </c>
      <c r="Z542" s="117">
        <v>6000</v>
      </c>
      <c r="AA542" s="117">
        <v>6000</v>
      </c>
      <c r="AC542" s="259"/>
      <c r="AE542" s="26">
        <v>6000</v>
      </c>
      <c r="AF542" s="200">
        <v>6424.4</v>
      </c>
      <c r="AH542" s="26">
        <v>6000</v>
      </c>
      <c r="AI542" s="244"/>
      <c r="AJ542" s="16">
        <f t="shared" si="267"/>
        <v>6000</v>
      </c>
      <c r="AK542" s="122">
        <f t="shared" si="268"/>
        <v>0</v>
      </c>
      <c r="AM542" s="117">
        <v>6000</v>
      </c>
      <c r="AN542" s="117">
        <v>6000</v>
      </c>
      <c r="AP542" s="259"/>
      <c r="AR542" s="26">
        <v>6000</v>
      </c>
      <c r="AS542" s="26">
        <v>6909.39</v>
      </c>
      <c r="AU542" s="26">
        <f t="shared" si="269"/>
        <v>6000</v>
      </c>
      <c r="AV542" s="244"/>
      <c r="AW542" s="16">
        <f t="shared" si="270"/>
        <v>6000</v>
      </c>
      <c r="AX542" s="122">
        <f t="shared" si="271"/>
        <v>0</v>
      </c>
      <c r="AZ542" s="117">
        <v>6000</v>
      </c>
      <c r="BA542" s="117">
        <v>6909.39</v>
      </c>
      <c r="BC542" s="259"/>
      <c r="BE542" s="26">
        <v>6000</v>
      </c>
      <c r="BF542" s="26">
        <v>4468.75</v>
      </c>
      <c r="BH542" s="26">
        <v>6000</v>
      </c>
      <c r="BI542" s="244"/>
      <c r="BJ542" s="16">
        <f t="shared" si="272"/>
        <v>6000</v>
      </c>
      <c r="BK542" s="122">
        <f t="shared" si="273"/>
        <v>0</v>
      </c>
      <c r="BM542" s="117">
        <v>6000</v>
      </c>
      <c r="BN542" s="117">
        <v>6000</v>
      </c>
      <c r="BP542" s="259"/>
      <c r="BR542" s="117">
        <v>6000</v>
      </c>
      <c r="BS542" s="26"/>
      <c r="BU542" s="26">
        <v>6000</v>
      </c>
      <c r="BV542" s="244">
        <v>-400</v>
      </c>
      <c r="BW542" s="576">
        <f t="shared" si="274"/>
        <v>5600</v>
      </c>
      <c r="BX542" s="577">
        <f t="shared" si="275"/>
        <v>-6.6666666666666666E-2</v>
      </c>
      <c r="BZ542" s="166">
        <v>5600</v>
      </c>
      <c r="CA542" s="166">
        <v>5600</v>
      </c>
      <c r="CC542" s="755" t="s">
        <v>1372</v>
      </c>
      <c r="CE542" s="166">
        <v>5600</v>
      </c>
      <c r="CF542" s="166"/>
      <c r="CO542" s="16"/>
    </row>
    <row r="543" spans="1:93" x14ac:dyDescent="0.3">
      <c r="A543" s="11">
        <v>420</v>
      </c>
      <c r="B543" s="3" t="s">
        <v>2</v>
      </c>
      <c r="C543" s="37">
        <v>42005</v>
      </c>
      <c r="D543" s="37">
        <v>52520</v>
      </c>
      <c r="E543" s="49" t="s">
        <v>118</v>
      </c>
      <c r="F543" s="3" t="s">
        <v>2</v>
      </c>
      <c r="G543" s="3" t="s">
        <v>390</v>
      </c>
      <c r="H543" s="26">
        <v>300</v>
      </c>
      <c r="I543" s="244"/>
      <c r="J543" s="16">
        <f t="shared" si="263"/>
        <v>300</v>
      </c>
      <c r="K543" s="122">
        <f t="shared" si="264"/>
        <v>0</v>
      </c>
      <c r="M543" s="117">
        <v>300</v>
      </c>
      <c r="N543" s="117">
        <v>300</v>
      </c>
      <c r="P543" s="259"/>
      <c r="R543" s="26">
        <v>300</v>
      </c>
      <c r="S543" s="26">
        <v>0</v>
      </c>
      <c r="U543" s="26">
        <v>300</v>
      </c>
      <c r="V543" s="244">
        <v>0</v>
      </c>
      <c r="W543" s="16">
        <f t="shared" si="265"/>
        <v>300</v>
      </c>
      <c r="X543" s="122">
        <f t="shared" si="266"/>
        <v>0</v>
      </c>
      <c r="Z543" s="117">
        <v>300</v>
      </c>
      <c r="AA543" s="117">
        <v>300</v>
      </c>
      <c r="AC543" s="259"/>
      <c r="AE543" s="26">
        <v>300</v>
      </c>
      <c r="AF543" s="200">
        <v>0</v>
      </c>
      <c r="AH543" s="26">
        <v>300</v>
      </c>
      <c r="AI543" s="244"/>
      <c r="AJ543" s="16">
        <f t="shared" si="267"/>
        <v>300</v>
      </c>
      <c r="AK543" s="122">
        <f t="shared" si="268"/>
        <v>0</v>
      </c>
      <c r="AM543" s="117">
        <v>300</v>
      </c>
      <c r="AN543" s="117">
        <v>300</v>
      </c>
      <c r="AP543" s="259"/>
      <c r="AR543" s="26">
        <v>300</v>
      </c>
      <c r="AS543" s="26">
        <v>0</v>
      </c>
      <c r="AU543" s="26">
        <f t="shared" si="269"/>
        <v>300</v>
      </c>
      <c r="AV543" s="244"/>
      <c r="AW543" s="16">
        <f t="shared" si="270"/>
        <v>300</v>
      </c>
      <c r="AX543" s="122">
        <f t="shared" si="271"/>
        <v>0</v>
      </c>
      <c r="AZ543" s="117">
        <v>300</v>
      </c>
      <c r="BA543" s="117">
        <v>0</v>
      </c>
      <c r="BC543" s="259"/>
      <c r="BE543" s="26">
        <v>300</v>
      </c>
      <c r="BF543" s="26">
        <v>164</v>
      </c>
      <c r="BH543" s="26">
        <v>300</v>
      </c>
      <c r="BI543" s="244"/>
      <c r="BJ543" s="16">
        <f t="shared" si="272"/>
        <v>300</v>
      </c>
      <c r="BK543" s="122">
        <f t="shared" si="273"/>
        <v>0</v>
      </c>
      <c r="BM543" s="117">
        <v>300</v>
      </c>
      <c r="BN543" s="117">
        <v>300</v>
      </c>
      <c r="BP543" s="259"/>
      <c r="BR543" s="117">
        <v>300</v>
      </c>
      <c r="BS543" s="26"/>
      <c r="BU543" s="26">
        <v>300</v>
      </c>
      <c r="BV543" s="244"/>
      <c r="BW543" s="576">
        <f t="shared" si="274"/>
        <v>300</v>
      </c>
      <c r="BX543" s="577">
        <f t="shared" si="275"/>
        <v>0</v>
      </c>
      <c r="BZ543" s="166">
        <v>300</v>
      </c>
      <c r="CA543" s="166">
        <v>300</v>
      </c>
      <c r="CC543" s="753"/>
      <c r="CE543" s="166">
        <v>300</v>
      </c>
      <c r="CF543" s="166"/>
      <c r="CO543" s="16"/>
    </row>
    <row r="544" spans="1:93" x14ac:dyDescent="0.3">
      <c r="A544" s="11">
        <v>420</v>
      </c>
      <c r="B544" s="3" t="s">
        <v>2</v>
      </c>
      <c r="C544" s="37">
        <v>42005</v>
      </c>
      <c r="D544" s="37">
        <v>52720</v>
      </c>
      <c r="E544" s="49" t="s">
        <v>118</v>
      </c>
      <c r="F544" s="3" t="s">
        <v>2</v>
      </c>
      <c r="G544" s="3" t="s">
        <v>391</v>
      </c>
      <c r="H544" s="26">
        <v>6000</v>
      </c>
      <c r="I544" s="244"/>
      <c r="J544" s="16">
        <f t="shared" si="263"/>
        <v>6000</v>
      </c>
      <c r="K544" s="122">
        <f t="shared" si="264"/>
        <v>0</v>
      </c>
      <c r="M544" s="117">
        <v>6000</v>
      </c>
      <c r="N544" s="117">
        <v>6000</v>
      </c>
      <c r="P544" s="259"/>
      <c r="R544" s="26">
        <v>6000</v>
      </c>
      <c r="S544" s="26">
        <v>300</v>
      </c>
      <c r="U544" s="26">
        <v>6000</v>
      </c>
      <c r="V544" s="244">
        <v>0</v>
      </c>
      <c r="W544" s="16">
        <f t="shared" si="265"/>
        <v>6000</v>
      </c>
      <c r="X544" s="122">
        <f t="shared" si="266"/>
        <v>0</v>
      </c>
      <c r="Z544" s="117">
        <v>6000</v>
      </c>
      <c r="AA544" s="117">
        <v>6000</v>
      </c>
      <c r="AC544" s="259"/>
      <c r="AE544" s="26">
        <v>6000</v>
      </c>
      <c r="AF544" s="200">
        <v>9502.41</v>
      </c>
      <c r="AH544" s="26">
        <v>6000</v>
      </c>
      <c r="AI544" s="244"/>
      <c r="AJ544" s="16">
        <f t="shared" si="267"/>
        <v>6000</v>
      </c>
      <c r="AK544" s="122">
        <f t="shared" si="268"/>
        <v>0</v>
      </c>
      <c r="AM544" s="117">
        <v>6000</v>
      </c>
      <c r="AN544" s="117">
        <v>6000</v>
      </c>
      <c r="AP544" s="259"/>
      <c r="AR544" s="26">
        <v>6000</v>
      </c>
      <c r="AS544" s="26">
        <v>410</v>
      </c>
      <c r="AU544" s="26">
        <f t="shared" si="269"/>
        <v>6000</v>
      </c>
      <c r="AV544" s="244"/>
      <c r="AW544" s="16">
        <f t="shared" si="270"/>
        <v>6000</v>
      </c>
      <c r="AX544" s="122">
        <f t="shared" si="271"/>
        <v>0</v>
      </c>
      <c r="AZ544" s="117">
        <v>6000</v>
      </c>
      <c r="BA544" s="117">
        <v>410</v>
      </c>
      <c r="BC544" s="259"/>
      <c r="BE544" s="26">
        <v>6000</v>
      </c>
      <c r="BF544" s="26">
        <v>3127.5</v>
      </c>
      <c r="BH544" s="26">
        <v>6000</v>
      </c>
      <c r="BI544" s="244"/>
      <c r="BJ544" s="16">
        <f t="shared" si="272"/>
        <v>6000</v>
      </c>
      <c r="BK544" s="122">
        <f t="shared" si="273"/>
        <v>0</v>
      </c>
      <c r="BM544" s="117">
        <v>6000</v>
      </c>
      <c r="BN544" s="117">
        <v>6000</v>
      </c>
      <c r="BP544" s="259"/>
      <c r="BR544" s="117">
        <v>6000</v>
      </c>
      <c r="BS544" s="26">
        <v>312.5</v>
      </c>
      <c r="BU544" s="26">
        <v>6000</v>
      </c>
      <c r="BV544" s="244"/>
      <c r="BW544" s="576">
        <f t="shared" si="274"/>
        <v>6000</v>
      </c>
      <c r="BX544" s="577">
        <f t="shared" si="275"/>
        <v>0</v>
      </c>
      <c r="BZ544" s="166">
        <v>6000</v>
      </c>
      <c r="CA544" s="166">
        <v>6000</v>
      </c>
      <c r="CC544" s="753"/>
      <c r="CE544" s="166">
        <v>6000</v>
      </c>
      <c r="CF544" s="166"/>
      <c r="CO544" s="16"/>
    </row>
    <row r="545" spans="1:93" x14ac:dyDescent="0.3">
      <c r="A545" s="11">
        <v>420</v>
      </c>
      <c r="B545" s="3" t="s">
        <v>2</v>
      </c>
      <c r="C545" s="37">
        <v>42005</v>
      </c>
      <c r="D545" s="37">
        <v>52740</v>
      </c>
      <c r="E545" s="49" t="s">
        <v>118</v>
      </c>
      <c r="F545" s="3" t="s">
        <v>2</v>
      </c>
      <c r="G545" s="3" t="s">
        <v>392</v>
      </c>
      <c r="H545" s="26">
        <v>0</v>
      </c>
      <c r="I545" s="244"/>
      <c r="J545" s="16">
        <f t="shared" si="263"/>
        <v>0</v>
      </c>
      <c r="K545" s="122" t="str">
        <f t="shared" si="264"/>
        <v xml:space="preserve"> </v>
      </c>
      <c r="M545" s="117">
        <v>0</v>
      </c>
      <c r="N545" s="117">
        <v>0</v>
      </c>
      <c r="P545" s="259"/>
      <c r="R545" s="26">
        <v>0</v>
      </c>
      <c r="S545" s="26">
        <v>0</v>
      </c>
      <c r="U545" s="26">
        <v>0</v>
      </c>
      <c r="V545" s="244">
        <v>0</v>
      </c>
      <c r="W545" s="16">
        <f t="shared" si="265"/>
        <v>0</v>
      </c>
      <c r="X545" s="122" t="str">
        <f t="shared" si="266"/>
        <v xml:space="preserve"> </v>
      </c>
      <c r="Z545" s="117">
        <v>0</v>
      </c>
      <c r="AA545" s="117">
        <v>0</v>
      </c>
      <c r="AC545" s="259"/>
      <c r="AE545" s="26">
        <v>0</v>
      </c>
      <c r="AF545" s="200">
        <v>0</v>
      </c>
      <c r="AH545" s="26">
        <v>0</v>
      </c>
      <c r="AI545" s="244"/>
      <c r="AJ545" s="16">
        <f t="shared" si="267"/>
        <v>0</v>
      </c>
      <c r="AK545" s="122" t="str">
        <f t="shared" si="268"/>
        <v xml:space="preserve"> </v>
      </c>
      <c r="AM545" s="117">
        <v>0</v>
      </c>
      <c r="AN545" s="117">
        <v>0</v>
      </c>
      <c r="AP545" s="259"/>
      <c r="AR545" s="26">
        <v>0</v>
      </c>
      <c r="AS545" s="26">
        <v>0</v>
      </c>
      <c r="AU545" s="26">
        <f t="shared" si="269"/>
        <v>0</v>
      </c>
      <c r="AV545" s="244"/>
      <c r="AW545" s="16">
        <f t="shared" si="270"/>
        <v>0</v>
      </c>
      <c r="AX545" s="122" t="str">
        <f t="shared" si="271"/>
        <v xml:space="preserve"> </v>
      </c>
      <c r="AZ545" s="117">
        <v>0</v>
      </c>
      <c r="BA545" s="117">
        <v>475.23</v>
      </c>
      <c r="BC545" s="259"/>
      <c r="BE545" s="26">
        <v>0</v>
      </c>
      <c r="BF545" s="26"/>
      <c r="BH545" s="26">
        <v>0</v>
      </c>
      <c r="BI545" s="244"/>
      <c r="BJ545" s="16">
        <f t="shared" si="272"/>
        <v>0</v>
      </c>
      <c r="BK545" s="122" t="str">
        <f t="shared" si="273"/>
        <v xml:space="preserve"> </v>
      </c>
      <c r="BM545" s="117">
        <v>0</v>
      </c>
      <c r="BN545" s="117">
        <v>0</v>
      </c>
      <c r="BP545" s="259"/>
      <c r="BR545" s="117">
        <v>0</v>
      </c>
      <c r="BS545" s="26"/>
      <c r="BU545" s="26">
        <v>0</v>
      </c>
      <c r="BV545" s="244"/>
      <c r="BW545" s="576">
        <f t="shared" ref="BW545:BW549" si="276">BU545+BV545</f>
        <v>0</v>
      </c>
      <c r="BX545" s="577" t="str">
        <f t="shared" ref="BX545:BX549" si="277">IF(BU545=0," ",(BW545-BU545)/BU545)</f>
        <v xml:space="preserve"> </v>
      </c>
      <c r="BZ545" s="166">
        <v>0</v>
      </c>
      <c r="CA545" s="166">
        <v>0</v>
      </c>
      <c r="CC545" s="753"/>
      <c r="CE545" s="166">
        <v>0</v>
      </c>
      <c r="CF545" s="166"/>
      <c r="CO545" s="16"/>
    </row>
    <row r="546" spans="1:93" x14ac:dyDescent="0.3">
      <c r="A546" s="11">
        <v>420</v>
      </c>
      <c r="B546" s="3" t="s">
        <v>2</v>
      </c>
      <c r="C546" s="37">
        <v>42005</v>
      </c>
      <c r="D546" s="325" t="s">
        <v>1441</v>
      </c>
      <c r="E546" s="49" t="s">
        <v>118</v>
      </c>
      <c r="F546" s="3" t="s">
        <v>2</v>
      </c>
      <c r="G546" s="3" t="s">
        <v>1369</v>
      </c>
      <c r="H546" s="26"/>
      <c r="I546" s="244"/>
      <c r="M546" s="117"/>
      <c r="N546" s="117"/>
      <c r="P546" s="259"/>
      <c r="R546" s="26"/>
      <c r="S546" s="26"/>
      <c r="U546" s="26"/>
      <c r="V546" s="244"/>
      <c r="Z546" s="117"/>
      <c r="AA546" s="117"/>
      <c r="AC546" s="259"/>
      <c r="AE546" s="26"/>
      <c r="AF546" s="200"/>
      <c r="AH546" s="26"/>
      <c r="AI546" s="244"/>
      <c r="AM546" s="117"/>
      <c r="AN546" s="117"/>
      <c r="AP546" s="259"/>
      <c r="AR546" s="26"/>
      <c r="AS546" s="26"/>
      <c r="AU546" s="26"/>
      <c r="AV546" s="244"/>
      <c r="AZ546" s="117"/>
      <c r="BA546" s="117"/>
      <c r="BC546" s="259"/>
      <c r="BE546" s="26"/>
      <c r="BF546" s="26"/>
      <c r="BH546" s="26"/>
      <c r="BI546" s="244"/>
      <c r="BM546" s="117"/>
      <c r="BN546" s="117"/>
      <c r="BP546" s="259"/>
      <c r="BR546" s="117"/>
      <c r="BS546" s="26"/>
      <c r="BU546" s="26"/>
      <c r="BV546" s="244">
        <v>400</v>
      </c>
      <c r="BW546" s="576">
        <f t="shared" si="276"/>
        <v>400</v>
      </c>
      <c r="BX546" s="577" t="str">
        <f t="shared" si="277"/>
        <v xml:space="preserve"> </v>
      </c>
      <c r="BZ546" s="166">
        <v>400</v>
      </c>
      <c r="CA546" s="166">
        <v>400</v>
      </c>
      <c r="CC546" s="755" t="s">
        <v>1442</v>
      </c>
      <c r="CE546" s="166">
        <v>400</v>
      </c>
      <c r="CF546" s="166"/>
      <c r="CO546" s="16"/>
    </row>
    <row r="547" spans="1:93" x14ac:dyDescent="0.3">
      <c r="A547" s="11">
        <v>420</v>
      </c>
      <c r="B547" s="3" t="s">
        <v>2</v>
      </c>
      <c r="C547" s="37">
        <v>42005</v>
      </c>
      <c r="D547" s="37">
        <v>52750</v>
      </c>
      <c r="E547" s="49" t="s">
        <v>118</v>
      </c>
      <c r="F547" s="3" t="s">
        <v>2</v>
      </c>
      <c r="G547" s="3" t="s">
        <v>1115</v>
      </c>
      <c r="H547" s="26"/>
      <c r="I547" s="244"/>
      <c r="M547" s="117"/>
      <c r="N547" s="117"/>
      <c r="P547" s="259"/>
      <c r="R547" s="26"/>
      <c r="S547" s="26"/>
      <c r="U547" s="26"/>
      <c r="V547" s="244"/>
      <c r="Z547" s="117"/>
      <c r="AA547" s="117"/>
      <c r="AC547" s="259"/>
      <c r="AE547" s="26"/>
      <c r="AF547" s="200"/>
      <c r="AH547" s="26"/>
      <c r="AI547" s="244"/>
      <c r="AM547" s="117"/>
      <c r="AN547" s="117"/>
      <c r="AP547" s="259"/>
      <c r="AR547" s="26"/>
      <c r="AS547" s="26">
        <v>475.23</v>
      </c>
      <c r="AU547" s="26"/>
      <c r="AV547" s="244"/>
      <c r="AZ547" s="117"/>
      <c r="BA547" s="117"/>
      <c r="BC547" s="259"/>
      <c r="BE547" s="26"/>
      <c r="BF547" s="26">
        <v>390</v>
      </c>
      <c r="BH547" s="26"/>
      <c r="BI547" s="244"/>
      <c r="BM547" s="117"/>
      <c r="BN547" s="117"/>
      <c r="BP547" s="259"/>
      <c r="BR547" s="117">
        <v>0</v>
      </c>
      <c r="BS547" s="26">
        <v>390</v>
      </c>
      <c r="BU547" s="26">
        <v>0</v>
      </c>
      <c r="BV547" s="244">
        <v>500</v>
      </c>
      <c r="BW547" s="576">
        <f t="shared" si="276"/>
        <v>500</v>
      </c>
      <c r="BX547" s="577" t="str">
        <f t="shared" si="277"/>
        <v xml:space="preserve"> </v>
      </c>
      <c r="BZ547" s="166">
        <v>500</v>
      </c>
      <c r="CA547" s="166">
        <v>500</v>
      </c>
      <c r="CC547" s="755" t="s">
        <v>1372</v>
      </c>
      <c r="CE547" s="166">
        <v>500</v>
      </c>
      <c r="CF547" s="166"/>
      <c r="CO547" s="16"/>
    </row>
    <row r="548" spans="1:93" x14ac:dyDescent="0.3">
      <c r="A548" s="11">
        <v>420</v>
      </c>
      <c r="B548" s="3" t="s">
        <v>2</v>
      </c>
      <c r="C548" s="37">
        <v>42005</v>
      </c>
      <c r="D548" s="37">
        <v>52950</v>
      </c>
      <c r="E548" s="49" t="s">
        <v>118</v>
      </c>
      <c r="F548" s="3" t="s">
        <v>2</v>
      </c>
      <c r="G548" s="3" t="s">
        <v>393</v>
      </c>
      <c r="H548" s="26">
        <v>5800</v>
      </c>
      <c r="I548" s="244">
        <v>100</v>
      </c>
      <c r="J548" s="16">
        <f t="shared" si="263"/>
        <v>5900</v>
      </c>
      <c r="K548" s="122">
        <f t="shared" si="264"/>
        <v>1.7241379310344827E-2</v>
      </c>
      <c r="M548" s="117">
        <v>5900</v>
      </c>
      <c r="N548" s="117">
        <v>5900</v>
      </c>
      <c r="P548" s="259"/>
      <c r="R548" s="26">
        <v>5900</v>
      </c>
      <c r="S548" s="26">
        <v>5900</v>
      </c>
      <c r="U548" s="26">
        <v>5900</v>
      </c>
      <c r="V548" s="244">
        <v>0</v>
      </c>
      <c r="W548" s="16">
        <f t="shared" si="265"/>
        <v>5900</v>
      </c>
      <c r="X548" s="122">
        <f t="shared" si="266"/>
        <v>0</v>
      </c>
      <c r="Z548" s="117">
        <v>5900</v>
      </c>
      <c r="AA548" s="117">
        <v>5900</v>
      </c>
      <c r="AC548" s="259"/>
      <c r="AE548" s="26">
        <v>5900</v>
      </c>
      <c r="AF548" s="200">
        <v>0</v>
      </c>
      <c r="AH548" s="26">
        <v>5900</v>
      </c>
      <c r="AI548" s="244"/>
      <c r="AJ548" s="16">
        <f t="shared" si="267"/>
        <v>5900</v>
      </c>
      <c r="AK548" s="122">
        <f t="shared" si="268"/>
        <v>0</v>
      </c>
      <c r="AM548" s="117">
        <v>5900</v>
      </c>
      <c r="AN548" s="117">
        <v>5900</v>
      </c>
      <c r="AP548" s="259"/>
      <c r="AR548" s="26">
        <v>5900</v>
      </c>
      <c r="AS548" s="26">
        <v>0</v>
      </c>
      <c r="AU548" s="26">
        <f>AR548</f>
        <v>5900</v>
      </c>
      <c r="AV548" s="244"/>
      <c r="AW548" s="16">
        <f t="shared" si="270"/>
        <v>5900</v>
      </c>
      <c r="AX548" s="122">
        <f t="shared" si="271"/>
        <v>0</v>
      </c>
      <c r="AZ548" s="117">
        <v>5900</v>
      </c>
      <c r="BA548" s="117">
        <v>0</v>
      </c>
      <c r="BC548" s="259"/>
      <c r="BE548" s="26">
        <v>5900</v>
      </c>
      <c r="BF548" s="26">
        <v>6879.03</v>
      </c>
      <c r="BH548" s="26">
        <v>5900</v>
      </c>
      <c r="BI548" s="244"/>
      <c r="BJ548" s="16">
        <f t="shared" si="272"/>
        <v>5900</v>
      </c>
      <c r="BK548" s="122">
        <f t="shared" si="273"/>
        <v>0</v>
      </c>
      <c r="BM548" s="117">
        <v>5900</v>
      </c>
      <c r="BN548" s="117">
        <v>5900</v>
      </c>
      <c r="BP548" s="259"/>
      <c r="BR548" s="117">
        <v>5900</v>
      </c>
      <c r="BS548" s="26"/>
      <c r="BU548" s="26">
        <v>5900</v>
      </c>
      <c r="BV548" s="244"/>
      <c r="BW548" s="576">
        <f t="shared" si="276"/>
        <v>5900</v>
      </c>
      <c r="BX548" s="577">
        <f t="shared" si="277"/>
        <v>0</v>
      </c>
      <c r="BZ548" s="166">
        <v>5900</v>
      </c>
      <c r="CA548" s="166">
        <v>5900</v>
      </c>
      <c r="CC548" s="753"/>
      <c r="CE548" s="166">
        <v>5900</v>
      </c>
      <c r="CF548" s="166"/>
      <c r="CO548" s="16"/>
    </row>
    <row r="549" spans="1:93" x14ac:dyDescent="0.3">
      <c r="A549" s="11">
        <v>420</v>
      </c>
      <c r="B549" s="3" t="s">
        <v>2</v>
      </c>
      <c r="C549" s="37">
        <v>42005</v>
      </c>
      <c r="D549" s="304">
        <v>53000</v>
      </c>
      <c r="E549" s="49" t="s">
        <v>118</v>
      </c>
      <c r="F549" s="3" t="s">
        <v>2</v>
      </c>
      <c r="G549" s="3" t="s">
        <v>932</v>
      </c>
      <c r="H549" s="26">
        <v>300</v>
      </c>
      <c r="I549" s="244">
        <v>6</v>
      </c>
      <c r="J549" s="16">
        <f>H549+I549</f>
        <v>306</v>
      </c>
      <c r="K549" s="122">
        <f>IF(H549=0," ",(J549-H549)/H549)</f>
        <v>0.02</v>
      </c>
      <c r="M549" s="117">
        <v>306</v>
      </c>
      <c r="N549" s="117">
        <v>306</v>
      </c>
      <c r="P549" s="259"/>
      <c r="R549" s="26">
        <v>306</v>
      </c>
      <c r="S549" s="26">
        <v>100</v>
      </c>
      <c r="U549" s="26">
        <v>306</v>
      </c>
      <c r="V549" s="244">
        <v>-6</v>
      </c>
      <c r="W549" s="16">
        <f>U549+V549</f>
        <v>300</v>
      </c>
      <c r="X549" s="122">
        <f>IF(U549=0," ",(W549-U549)/U549)</f>
        <v>-1.9607843137254902E-2</v>
      </c>
      <c r="Z549" s="117">
        <v>300</v>
      </c>
      <c r="AA549" s="117">
        <v>300</v>
      </c>
      <c r="AC549" s="259"/>
      <c r="AE549" s="26">
        <v>300</v>
      </c>
      <c r="AF549" s="200">
        <v>265</v>
      </c>
      <c r="AH549" s="26">
        <v>300</v>
      </c>
      <c r="AI549" s="244"/>
      <c r="AJ549" s="16">
        <f>AH549+AI549</f>
        <v>300</v>
      </c>
      <c r="AK549" s="122">
        <f>IF(AH549=0," ",(AJ549-AH549)/AH549)</f>
        <v>0</v>
      </c>
      <c r="AM549" s="117">
        <v>300</v>
      </c>
      <c r="AN549" s="117">
        <v>300</v>
      </c>
      <c r="AP549" s="259"/>
      <c r="AR549" s="26">
        <v>300</v>
      </c>
      <c r="AS549" s="26">
        <v>185</v>
      </c>
      <c r="AU549" s="26">
        <f>AR549</f>
        <v>300</v>
      </c>
      <c r="AV549" s="244"/>
      <c r="AW549" s="16">
        <f>AU549+AV549</f>
        <v>300</v>
      </c>
      <c r="AX549" s="122">
        <f>IF(AU549=0," ",(AW549-AU549)/AU549)</f>
        <v>0</v>
      </c>
      <c r="AZ549" s="117">
        <v>300</v>
      </c>
      <c r="BA549" s="117">
        <v>185</v>
      </c>
      <c r="BC549" s="259"/>
      <c r="BE549" s="26">
        <v>300</v>
      </c>
      <c r="BF549" s="26">
        <v>700</v>
      </c>
      <c r="BH549" s="26">
        <v>300</v>
      </c>
      <c r="BI549" s="244"/>
      <c r="BJ549" s="16">
        <f t="shared" si="272"/>
        <v>300</v>
      </c>
      <c r="BK549" s="122">
        <f t="shared" si="273"/>
        <v>0</v>
      </c>
      <c r="BM549" s="117">
        <v>300</v>
      </c>
      <c r="BN549" s="117">
        <v>300</v>
      </c>
      <c r="BP549" s="259"/>
      <c r="BR549" s="117">
        <v>300</v>
      </c>
      <c r="BS549" s="26">
        <v>455</v>
      </c>
      <c r="BU549" s="26">
        <v>300</v>
      </c>
      <c r="BV549" s="244"/>
      <c r="BW549" s="576">
        <f t="shared" si="276"/>
        <v>300</v>
      </c>
      <c r="BX549" s="577">
        <f t="shared" si="277"/>
        <v>0</v>
      </c>
      <c r="BZ549" s="166">
        <v>300</v>
      </c>
      <c r="CA549" s="166">
        <v>300</v>
      </c>
      <c r="CC549" s="753"/>
      <c r="CE549" s="166">
        <v>300</v>
      </c>
      <c r="CF549" s="166"/>
      <c r="CO549" s="16"/>
    </row>
    <row r="550" spans="1:93" x14ac:dyDescent="0.3">
      <c r="A550" s="11">
        <v>420</v>
      </c>
      <c r="B550" s="3" t="s">
        <v>2</v>
      </c>
      <c r="C550" s="37">
        <v>42005</v>
      </c>
      <c r="D550" s="304">
        <v>53040</v>
      </c>
      <c r="E550" s="49" t="s">
        <v>118</v>
      </c>
      <c r="F550" s="3" t="s">
        <v>2</v>
      </c>
      <c r="G550" s="3" t="s">
        <v>1231</v>
      </c>
      <c r="H550" s="26"/>
      <c r="I550" s="244"/>
      <c r="M550" s="117"/>
      <c r="N550" s="117"/>
      <c r="P550" s="259"/>
      <c r="R550" s="26"/>
      <c r="S550" s="26"/>
      <c r="U550" s="26"/>
      <c r="V550" s="244"/>
      <c r="Z550" s="117"/>
      <c r="AA550" s="117"/>
      <c r="AC550" s="259"/>
      <c r="AE550" s="26"/>
      <c r="AF550" s="200"/>
      <c r="AH550" s="26"/>
      <c r="AI550" s="244"/>
      <c r="AM550" s="117"/>
      <c r="AN550" s="117"/>
      <c r="AP550" s="259"/>
      <c r="AR550" s="26"/>
      <c r="AS550" s="26">
        <v>0</v>
      </c>
      <c r="AU550" s="26"/>
      <c r="AV550" s="244"/>
      <c r="AZ550" s="117"/>
      <c r="BA550" s="117"/>
      <c r="BC550" s="259"/>
      <c r="BE550" s="26"/>
      <c r="BF550" s="26">
        <v>237.4</v>
      </c>
      <c r="BH550" s="26"/>
      <c r="BI550" s="244"/>
      <c r="BJ550" s="16">
        <f t="shared" si="272"/>
        <v>0</v>
      </c>
      <c r="BK550" s="122" t="str">
        <f t="shared" si="273"/>
        <v xml:space="preserve"> </v>
      </c>
      <c r="BM550" s="117"/>
      <c r="BN550" s="117"/>
      <c r="BP550" s="259"/>
      <c r="BR550" s="117"/>
      <c r="BS550" s="26"/>
      <c r="BU550" s="26"/>
      <c r="BV550" s="244"/>
      <c r="BW550" s="576">
        <f t="shared" si="274"/>
        <v>0</v>
      </c>
      <c r="BZ550" s="166">
        <v>0</v>
      </c>
      <c r="CA550" s="166">
        <v>0</v>
      </c>
      <c r="CC550" s="753"/>
      <c r="CE550" s="166">
        <v>0</v>
      </c>
      <c r="CF550" s="166"/>
      <c r="CO550" s="16"/>
    </row>
    <row r="551" spans="1:93" x14ac:dyDescent="0.3">
      <c r="A551" s="11">
        <v>420</v>
      </c>
      <c r="B551" s="3" t="s">
        <v>2</v>
      </c>
      <c r="C551" s="37">
        <v>42005</v>
      </c>
      <c r="D551" s="304">
        <v>53200</v>
      </c>
      <c r="E551" s="49" t="s">
        <v>118</v>
      </c>
      <c r="F551" s="3" t="s">
        <v>2</v>
      </c>
      <c r="G551" s="3" t="s">
        <v>384</v>
      </c>
      <c r="H551" s="26">
        <v>750</v>
      </c>
      <c r="I551" s="244">
        <v>150</v>
      </c>
      <c r="J551" s="16">
        <f>H551+I551</f>
        <v>900</v>
      </c>
      <c r="K551" s="122">
        <f>IF(H551=0," ",(J551-H551)/H551)</f>
        <v>0.2</v>
      </c>
      <c r="M551" s="117">
        <v>900</v>
      </c>
      <c r="N551" s="117">
        <v>900</v>
      </c>
      <c r="P551" s="259"/>
      <c r="R551" s="26">
        <v>900</v>
      </c>
      <c r="S551" s="26">
        <v>540</v>
      </c>
      <c r="U551" s="26">
        <v>900</v>
      </c>
      <c r="V551" s="244">
        <v>0</v>
      </c>
      <c r="W551" s="16">
        <f>U551+V551</f>
        <v>900</v>
      </c>
      <c r="X551" s="122">
        <f>IF(U551=0," ",(W551-U551)/U551)</f>
        <v>0</v>
      </c>
      <c r="Z551" s="117">
        <v>900</v>
      </c>
      <c r="AA551" s="117">
        <v>900</v>
      </c>
      <c r="AC551" s="259"/>
      <c r="AE551" s="26">
        <v>900</v>
      </c>
      <c r="AF551" s="200">
        <v>680</v>
      </c>
      <c r="AH551" s="26">
        <v>900</v>
      </c>
      <c r="AI551" s="244"/>
      <c r="AJ551" s="16">
        <f>AH551+AI551</f>
        <v>900</v>
      </c>
      <c r="AK551" s="122">
        <f>IF(AH551=0," ",(AJ551-AH551)/AH551)</f>
        <v>0</v>
      </c>
      <c r="AM551" s="117">
        <v>900</v>
      </c>
      <c r="AN551" s="117">
        <v>900</v>
      </c>
      <c r="AP551" s="259"/>
      <c r="AR551" s="26">
        <v>900</v>
      </c>
      <c r="AS551" s="26">
        <v>265</v>
      </c>
      <c r="AU551" s="26">
        <f t="shared" ref="AU551:AU573" si="278">AR551</f>
        <v>900</v>
      </c>
      <c r="AV551" s="244"/>
      <c r="AW551" s="16">
        <f>AU551+AV551</f>
        <v>900</v>
      </c>
      <c r="AX551" s="122">
        <f>IF(AU551=0," ",(AW551-AU551)/AU551)</f>
        <v>0</v>
      </c>
      <c r="AZ551" s="117">
        <v>900</v>
      </c>
      <c r="BA551" s="117">
        <v>265</v>
      </c>
      <c r="BC551" s="259"/>
      <c r="BE551" s="26">
        <v>900</v>
      </c>
      <c r="BF551" s="26">
        <v>311.41000000000003</v>
      </c>
      <c r="BH551" s="26">
        <v>900</v>
      </c>
      <c r="BI551" s="244"/>
      <c r="BJ551" s="16">
        <f t="shared" si="272"/>
        <v>900</v>
      </c>
      <c r="BK551" s="122">
        <f t="shared" si="273"/>
        <v>0</v>
      </c>
      <c r="BM551" s="117">
        <v>900</v>
      </c>
      <c r="BN551" s="117">
        <v>900</v>
      </c>
      <c r="BP551" s="259"/>
      <c r="BR551" s="117">
        <v>900</v>
      </c>
      <c r="BS551" s="26">
        <v>626.82000000000005</v>
      </c>
      <c r="BU551" s="26">
        <v>900</v>
      </c>
      <c r="BV551" s="244"/>
      <c r="BW551" s="576">
        <f t="shared" si="274"/>
        <v>900</v>
      </c>
      <c r="BX551" s="577">
        <f t="shared" si="275"/>
        <v>0</v>
      </c>
      <c r="BZ551" s="166">
        <v>900</v>
      </c>
      <c r="CA551" s="166">
        <v>900</v>
      </c>
      <c r="CC551" s="753"/>
      <c r="CE551" s="166">
        <v>900</v>
      </c>
      <c r="CF551" s="166"/>
      <c r="CO551" s="16"/>
    </row>
    <row r="552" spans="1:93" x14ac:dyDescent="0.3">
      <c r="A552" s="11">
        <v>420</v>
      </c>
      <c r="B552" s="3" t="s">
        <v>2</v>
      </c>
      <c r="C552" s="37">
        <v>42005</v>
      </c>
      <c r="D552" s="37">
        <v>53400</v>
      </c>
      <c r="E552" s="49" t="s">
        <v>118</v>
      </c>
      <c r="F552" s="3" t="s">
        <v>2</v>
      </c>
      <c r="G552" s="3" t="s">
        <v>394</v>
      </c>
      <c r="H552" s="26">
        <v>2215</v>
      </c>
      <c r="I552" s="244">
        <v>35</v>
      </c>
      <c r="J552" s="16">
        <f t="shared" si="263"/>
        <v>2250</v>
      </c>
      <c r="K552" s="122">
        <f t="shared" si="264"/>
        <v>1.580135440180587E-2</v>
      </c>
      <c r="M552" s="117">
        <v>2250</v>
      </c>
      <c r="N552" s="117">
        <v>2250</v>
      </c>
      <c r="P552" s="259"/>
      <c r="R552" s="26">
        <v>2250</v>
      </c>
      <c r="S552" s="26">
        <v>2073.54</v>
      </c>
      <c r="U552" s="26">
        <v>2250</v>
      </c>
      <c r="V552" s="244">
        <v>0</v>
      </c>
      <c r="W552" s="16">
        <f t="shared" si="265"/>
        <v>2250</v>
      </c>
      <c r="X552" s="122">
        <f t="shared" si="266"/>
        <v>0</v>
      </c>
      <c r="Z552" s="117">
        <v>2250</v>
      </c>
      <c r="AA552" s="117">
        <v>2250</v>
      </c>
      <c r="AC552" s="259"/>
      <c r="AE552" s="26">
        <v>2250</v>
      </c>
      <c r="AF552" s="200">
        <v>2210.3000000000002</v>
      </c>
      <c r="AH552" s="26">
        <v>2250</v>
      </c>
      <c r="AI552" s="244"/>
      <c r="AJ552" s="16">
        <f t="shared" si="267"/>
        <v>2250</v>
      </c>
      <c r="AK552" s="122">
        <f t="shared" si="268"/>
        <v>0</v>
      </c>
      <c r="AM552" s="117">
        <v>2250</v>
      </c>
      <c r="AN552" s="117">
        <v>2250</v>
      </c>
      <c r="AP552" s="259"/>
      <c r="AR552" s="26">
        <v>2250</v>
      </c>
      <c r="AS552" s="26">
        <v>1487.05</v>
      </c>
      <c r="AU552" s="26">
        <f t="shared" si="278"/>
        <v>2250</v>
      </c>
      <c r="AV552" s="244"/>
      <c r="AW552" s="16">
        <f t="shared" si="270"/>
        <v>2250</v>
      </c>
      <c r="AX552" s="122">
        <f t="shared" si="271"/>
        <v>0</v>
      </c>
      <c r="AZ552" s="117">
        <v>2250</v>
      </c>
      <c r="BA552" s="117">
        <v>1487.05</v>
      </c>
      <c r="BC552" s="259"/>
      <c r="BE552" s="26">
        <v>2250</v>
      </c>
      <c r="BF552" s="26">
        <v>247.5</v>
      </c>
      <c r="BH552" s="26">
        <v>2250</v>
      </c>
      <c r="BI552" s="403">
        <v>-1500</v>
      </c>
      <c r="BJ552" s="16">
        <f t="shared" si="272"/>
        <v>750</v>
      </c>
      <c r="BK552" s="122">
        <f t="shared" si="273"/>
        <v>-0.66666666666666663</v>
      </c>
      <c r="BM552" s="117">
        <v>750</v>
      </c>
      <c r="BN552" s="117">
        <v>750</v>
      </c>
      <c r="BP552" s="399" t="s">
        <v>1120</v>
      </c>
      <c r="BR552" s="117">
        <v>750</v>
      </c>
      <c r="BS552" s="26">
        <v>395.47</v>
      </c>
      <c r="BU552" s="26">
        <v>750</v>
      </c>
      <c r="BV552" s="244"/>
      <c r="BW552" s="576">
        <f t="shared" si="274"/>
        <v>750</v>
      </c>
      <c r="BX552" s="577">
        <f t="shared" si="275"/>
        <v>0</v>
      </c>
      <c r="BZ552" s="166">
        <v>750</v>
      </c>
      <c r="CA552" s="166">
        <v>750</v>
      </c>
      <c r="CC552" s="754"/>
      <c r="CE552" s="166">
        <v>750</v>
      </c>
      <c r="CF552" s="166"/>
      <c r="CO552" s="16"/>
    </row>
    <row r="553" spans="1:93" x14ac:dyDescent="0.3">
      <c r="A553" s="11">
        <v>420</v>
      </c>
      <c r="B553" s="3" t="s">
        <v>2</v>
      </c>
      <c r="C553" s="37">
        <v>42005</v>
      </c>
      <c r="D553" s="37">
        <v>53430</v>
      </c>
      <c r="E553" s="49" t="s">
        <v>118</v>
      </c>
      <c r="F553" s="3" t="s">
        <v>2</v>
      </c>
      <c r="G553" s="3" t="s">
        <v>395</v>
      </c>
      <c r="H553" s="26">
        <v>200</v>
      </c>
      <c r="I553" s="244"/>
      <c r="J553" s="16">
        <f t="shared" si="263"/>
        <v>200</v>
      </c>
      <c r="K553" s="122">
        <f t="shared" si="264"/>
        <v>0</v>
      </c>
      <c r="M553" s="117">
        <v>200</v>
      </c>
      <c r="N553" s="117">
        <v>200</v>
      </c>
      <c r="P553" s="259"/>
      <c r="R553" s="26">
        <v>200</v>
      </c>
      <c r="S553" s="26">
        <v>37.42</v>
      </c>
      <c r="U553" s="26">
        <v>200</v>
      </c>
      <c r="V553" s="244">
        <v>0</v>
      </c>
      <c r="W553" s="16">
        <f t="shared" si="265"/>
        <v>200</v>
      </c>
      <c r="X553" s="122">
        <f t="shared" si="266"/>
        <v>0</v>
      </c>
      <c r="Z553" s="117">
        <v>200</v>
      </c>
      <c r="AA553" s="117">
        <v>200</v>
      </c>
      <c r="AC553" s="259"/>
      <c r="AE553" s="26">
        <v>200</v>
      </c>
      <c r="AF553" s="200">
        <v>0</v>
      </c>
      <c r="AH553" s="26">
        <v>200</v>
      </c>
      <c r="AI553" s="244"/>
      <c r="AJ553" s="16">
        <f t="shared" si="267"/>
        <v>200</v>
      </c>
      <c r="AK553" s="122">
        <f t="shared" si="268"/>
        <v>0</v>
      </c>
      <c r="AM553" s="117">
        <v>200</v>
      </c>
      <c r="AN553" s="117">
        <v>200</v>
      </c>
      <c r="AP553" s="259"/>
      <c r="AR553" s="26">
        <v>200</v>
      </c>
      <c r="AS553" s="26">
        <v>0</v>
      </c>
      <c r="AU553" s="26">
        <f t="shared" si="278"/>
        <v>200</v>
      </c>
      <c r="AV553" s="244"/>
      <c r="AW553" s="16">
        <f t="shared" si="270"/>
        <v>200</v>
      </c>
      <c r="AX553" s="122">
        <f t="shared" si="271"/>
        <v>0</v>
      </c>
      <c r="AZ553" s="117">
        <v>200</v>
      </c>
      <c r="BA553" s="117">
        <v>0</v>
      </c>
      <c r="BC553" s="259"/>
      <c r="BE553" s="26">
        <v>200</v>
      </c>
      <c r="BF553" s="26">
        <v>70.58</v>
      </c>
      <c r="BH553" s="26">
        <v>200</v>
      </c>
      <c r="BI553" s="244"/>
      <c r="BJ553" s="16">
        <f t="shared" si="272"/>
        <v>200</v>
      </c>
      <c r="BK553" s="122">
        <f t="shared" si="273"/>
        <v>0</v>
      </c>
      <c r="BM553" s="117">
        <v>200</v>
      </c>
      <c r="BN553" s="117">
        <v>200</v>
      </c>
      <c r="BP553" s="259"/>
      <c r="BR553" s="117">
        <v>200</v>
      </c>
      <c r="BS553" s="26"/>
      <c r="BU553" s="26">
        <v>200</v>
      </c>
      <c r="BV553" s="244"/>
      <c r="BW553" s="576">
        <f t="shared" si="274"/>
        <v>200</v>
      </c>
      <c r="BX553" s="577">
        <f t="shared" si="275"/>
        <v>0</v>
      </c>
      <c r="BZ553" s="166">
        <v>200</v>
      </c>
      <c r="CA553" s="166">
        <v>200</v>
      </c>
      <c r="CC553" s="753"/>
      <c r="CE553" s="166">
        <v>200</v>
      </c>
      <c r="CF553" s="166"/>
      <c r="CO553" s="16"/>
    </row>
    <row r="554" spans="1:93" x14ac:dyDescent="0.3">
      <c r="A554" s="11">
        <v>420</v>
      </c>
      <c r="B554" s="3" t="s">
        <v>2</v>
      </c>
      <c r="C554" s="37">
        <v>42005</v>
      </c>
      <c r="D554" s="37">
        <v>53450</v>
      </c>
      <c r="E554" s="49" t="s">
        <v>118</v>
      </c>
      <c r="F554" s="3" t="s">
        <v>2</v>
      </c>
      <c r="G554" s="3" t="s">
        <v>396</v>
      </c>
      <c r="H554" s="26">
        <v>750</v>
      </c>
      <c r="I554" s="244">
        <v>15</v>
      </c>
      <c r="J554" s="16">
        <f t="shared" si="263"/>
        <v>765</v>
      </c>
      <c r="K554" s="122">
        <f t="shared" si="264"/>
        <v>0.02</v>
      </c>
      <c r="M554" s="117">
        <v>765</v>
      </c>
      <c r="N554" s="117">
        <v>765</v>
      </c>
      <c r="P554" s="259"/>
      <c r="R554" s="26">
        <v>765</v>
      </c>
      <c r="S554" s="26">
        <v>639</v>
      </c>
      <c r="U554" s="26">
        <v>765</v>
      </c>
      <c r="V554" s="244">
        <v>0</v>
      </c>
      <c r="W554" s="16">
        <f t="shared" si="265"/>
        <v>765</v>
      </c>
      <c r="X554" s="122">
        <f t="shared" si="266"/>
        <v>0</v>
      </c>
      <c r="Z554" s="117">
        <v>765</v>
      </c>
      <c r="AA554" s="117">
        <v>765</v>
      </c>
      <c r="AC554" s="259"/>
      <c r="AE554" s="26">
        <v>765</v>
      </c>
      <c r="AF554" s="200">
        <v>0</v>
      </c>
      <c r="AH554" s="26">
        <v>765</v>
      </c>
      <c r="AI554" s="244"/>
      <c r="AJ554" s="16">
        <f t="shared" si="267"/>
        <v>765</v>
      </c>
      <c r="AK554" s="122">
        <f t="shared" si="268"/>
        <v>0</v>
      </c>
      <c r="AM554" s="117">
        <v>765</v>
      </c>
      <c r="AN554" s="117">
        <v>765</v>
      </c>
      <c r="AP554" s="259"/>
      <c r="AR554" s="26">
        <v>765</v>
      </c>
      <c r="AS554" s="26">
        <v>751.4</v>
      </c>
      <c r="AU554" s="26">
        <f t="shared" si="278"/>
        <v>765</v>
      </c>
      <c r="AV554" s="244"/>
      <c r="AW554" s="16">
        <f t="shared" si="270"/>
        <v>765</v>
      </c>
      <c r="AX554" s="122">
        <f t="shared" si="271"/>
        <v>0</v>
      </c>
      <c r="AZ554" s="117">
        <v>765</v>
      </c>
      <c r="BA554" s="117">
        <v>751.4</v>
      </c>
      <c r="BC554" s="259"/>
      <c r="BE554" s="26">
        <v>765</v>
      </c>
      <c r="BF554" s="26">
        <v>633.67999999999995</v>
      </c>
      <c r="BH554" s="26">
        <v>765</v>
      </c>
      <c r="BI554" s="244"/>
      <c r="BJ554" s="16">
        <f t="shared" si="272"/>
        <v>765</v>
      </c>
      <c r="BK554" s="122">
        <f t="shared" si="273"/>
        <v>0</v>
      </c>
      <c r="BM554" s="117">
        <v>765</v>
      </c>
      <c r="BN554" s="117">
        <v>765</v>
      </c>
      <c r="BP554" s="259"/>
      <c r="BR554" s="117">
        <v>765</v>
      </c>
      <c r="BS554" s="26">
        <v>670.95</v>
      </c>
      <c r="BU554" s="26">
        <v>765</v>
      </c>
      <c r="BV554" s="244"/>
      <c r="BW554" s="576">
        <f t="shared" si="274"/>
        <v>765</v>
      </c>
      <c r="BX554" s="577">
        <f t="shared" si="275"/>
        <v>0</v>
      </c>
      <c r="BZ554" s="166">
        <v>765</v>
      </c>
      <c r="CA554" s="166">
        <v>765</v>
      </c>
      <c r="CC554" s="753"/>
      <c r="CE554" s="166">
        <v>765</v>
      </c>
      <c r="CF554" s="166"/>
      <c r="CO554" s="16"/>
    </row>
    <row r="555" spans="1:93" x14ac:dyDescent="0.3">
      <c r="A555" s="11">
        <v>420</v>
      </c>
      <c r="B555" s="3" t="s">
        <v>2</v>
      </c>
      <c r="C555" s="37">
        <v>42005</v>
      </c>
      <c r="D555" s="37">
        <v>53800</v>
      </c>
      <c r="E555" s="49" t="s">
        <v>118</v>
      </c>
      <c r="F555" s="3" t="s">
        <v>2</v>
      </c>
      <c r="G555" s="3" t="s">
        <v>397</v>
      </c>
      <c r="H555" s="26">
        <v>1650</v>
      </c>
      <c r="I555" s="244">
        <v>30</v>
      </c>
      <c r="J555" s="16">
        <f t="shared" si="263"/>
        <v>1680</v>
      </c>
      <c r="K555" s="122">
        <f t="shared" si="264"/>
        <v>1.8181818181818181E-2</v>
      </c>
      <c r="M555" s="117">
        <v>1680</v>
      </c>
      <c r="N555" s="117">
        <v>1680</v>
      </c>
      <c r="P555" s="259"/>
      <c r="R555" s="26">
        <v>1680</v>
      </c>
      <c r="S555" s="26">
        <v>148</v>
      </c>
      <c r="U555" s="26">
        <v>1680</v>
      </c>
      <c r="V555" s="244">
        <v>0</v>
      </c>
      <c r="W555" s="16">
        <f t="shared" si="265"/>
        <v>1680</v>
      </c>
      <c r="X555" s="122">
        <f t="shared" si="266"/>
        <v>0</v>
      </c>
      <c r="Z555" s="117">
        <v>1680</v>
      </c>
      <c r="AA555" s="117">
        <v>1680</v>
      </c>
      <c r="AC555" s="259"/>
      <c r="AE555" s="26">
        <v>1680</v>
      </c>
      <c r="AF555" s="200">
        <v>211</v>
      </c>
      <c r="AH555" s="26">
        <v>1680</v>
      </c>
      <c r="AI555" s="244"/>
      <c r="AJ555" s="16">
        <f t="shared" si="267"/>
        <v>1680</v>
      </c>
      <c r="AK555" s="122">
        <f t="shared" si="268"/>
        <v>0</v>
      </c>
      <c r="AM555" s="117">
        <v>1680</v>
      </c>
      <c r="AN555" s="117">
        <v>1680</v>
      </c>
      <c r="AP555" s="259"/>
      <c r="AR555" s="26">
        <v>1680</v>
      </c>
      <c r="AS555" s="26">
        <v>469.5</v>
      </c>
      <c r="AU555" s="26">
        <f t="shared" si="278"/>
        <v>1680</v>
      </c>
      <c r="AV555" s="244"/>
      <c r="AW555" s="16">
        <f t="shared" si="270"/>
        <v>1680</v>
      </c>
      <c r="AX555" s="122">
        <f t="shared" si="271"/>
        <v>0</v>
      </c>
      <c r="AZ555" s="117">
        <v>1680</v>
      </c>
      <c r="BA555" s="117">
        <v>469.5</v>
      </c>
      <c r="BC555" s="259"/>
      <c r="BE555" s="26">
        <v>1680</v>
      </c>
      <c r="BF555" s="26">
        <v>477.44</v>
      </c>
      <c r="BH555" s="26">
        <v>1680</v>
      </c>
      <c r="BI555" s="403">
        <v>-680</v>
      </c>
      <c r="BJ555" s="16">
        <f t="shared" si="272"/>
        <v>1000</v>
      </c>
      <c r="BK555" s="122">
        <f t="shared" si="273"/>
        <v>-0.40476190476190477</v>
      </c>
      <c r="BM555" s="117">
        <v>1000</v>
      </c>
      <c r="BN555" s="117">
        <v>1000</v>
      </c>
      <c r="BP555" s="399" t="s">
        <v>1120</v>
      </c>
      <c r="BR555" s="117">
        <v>1000</v>
      </c>
      <c r="BS555" s="26">
        <v>168</v>
      </c>
      <c r="BU555" s="26">
        <v>1000</v>
      </c>
      <c r="BV555" s="244">
        <v>-500</v>
      </c>
      <c r="BW555" s="576">
        <f t="shared" si="274"/>
        <v>500</v>
      </c>
      <c r="BX555" s="577">
        <f t="shared" si="275"/>
        <v>-0.5</v>
      </c>
      <c r="BZ555" s="166">
        <v>500</v>
      </c>
      <c r="CA555" s="166">
        <v>500</v>
      </c>
      <c r="CC555" s="755" t="s">
        <v>1372</v>
      </c>
      <c r="CE555" s="166">
        <v>500</v>
      </c>
      <c r="CF555" s="166"/>
      <c r="CO555" s="16"/>
    </row>
    <row r="556" spans="1:93" x14ac:dyDescent="0.3">
      <c r="A556" s="11">
        <v>420</v>
      </c>
      <c r="B556" s="3" t="s">
        <v>2</v>
      </c>
      <c r="C556" s="37">
        <v>42005</v>
      </c>
      <c r="D556" s="37">
        <v>53870</v>
      </c>
      <c r="E556" s="49" t="s">
        <v>118</v>
      </c>
      <c r="F556" s="3" t="s">
        <v>2</v>
      </c>
      <c r="G556" s="3" t="s">
        <v>383</v>
      </c>
      <c r="H556" s="26">
        <v>3000</v>
      </c>
      <c r="I556" s="244">
        <v>2000</v>
      </c>
      <c r="J556" s="16">
        <f>H556+I556</f>
        <v>5000</v>
      </c>
      <c r="K556" s="122">
        <f>IF(H556=0," ",(J556-H556)/H556)</f>
        <v>0.66666666666666663</v>
      </c>
      <c r="M556" s="117">
        <v>5000</v>
      </c>
      <c r="N556" s="117">
        <v>5000</v>
      </c>
      <c r="P556" s="259"/>
      <c r="R556" s="26">
        <v>5000</v>
      </c>
      <c r="S556" s="26">
        <v>12927.6</v>
      </c>
      <c r="U556" s="26">
        <v>5000</v>
      </c>
      <c r="V556" s="244">
        <v>0</v>
      </c>
      <c r="W556" s="16">
        <f>U556+V556</f>
        <v>5000</v>
      </c>
      <c r="X556" s="122">
        <f>IF(U556=0," ",(W556-U556)/U556)</f>
        <v>0</v>
      </c>
      <c r="Z556" s="117">
        <v>5000</v>
      </c>
      <c r="AA556" s="117">
        <v>5000</v>
      </c>
      <c r="AC556" s="259"/>
      <c r="AE556" s="26">
        <v>5000</v>
      </c>
      <c r="AF556" s="200">
        <v>5712.2</v>
      </c>
      <c r="AH556" s="26">
        <v>5000</v>
      </c>
      <c r="AI556" s="244"/>
      <c r="AJ556" s="16">
        <f>AH556+AI556</f>
        <v>5000</v>
      </c>
      <c r="AK556" s="122">
        <f>IF(AH556=0," ",(AJ556-AH556)/AH556)</f>
        <v>0</v>
      </c>
      <c r="AM556" s="117">
        <v>5000</v>
      </c>
      <c r="AN556" s="117">
        <v>5000</v>
      </c>
      <c r="AP556" s="259"/>
      <c r="AR556" s="26">
        <v>5000</v>
      </c>
      <c r="AS556" s="26">
        <v>3286.48</v>
      </c>
      <c r="AU556" s="26">
        <f t="shared" si="278"/>
        <v>5000</v>
      </c>
      <c r="AV556" s="244"/>
      <c r="AW556" s="16">
        <f>AU556+AV556</f>
        <v>5000</v>
      </c>
      <c r="AX556" s="122">
        <f>IF(AU556=0," ",(AW556-AU556)/AU556)</f>
        <v>0</v>
      </c>
      <c r="AZ556" s="117">
        <v>5000</v>
      </c>
      <c r="BA556" s="117">
        <v>3286.48</v>
      </c>
      <c r="BC556" s="259"/>
      <c r="BE556" s="26">
        <v>5000</v>
      </c>
      <c r="BF556" s="26">
        <v>7145.6</v>
      </c>
      <c r="BH556" s="26">
        <v>5000</v>
      </c>
      <c r="BI556" s="244"/>
      <c r="BJ556" s="16">
        <f t="shared" si="272"/>
        <v>5000</v>
      </c>
      <c r="BK556" s="122">
        <f t="shared" si="273"/>
        <v>0</v>
      </c>
      <c r="BM556" s="117">
        <v>5000</v>
      </c>
      <c r="BN556" s="117">
        <v>5000</v>
      </c>
      <c r="BP556" s="259"/>
      <c r="BR556" s="117">
        <v>5000</v>
      </c>
      <c r="BS556" s="26"/>
      <c r="BU556" s="26">
        <v>5000</v>
      </c>
      <c r="BV556" s="244"/>
      <c r="BW556" s="576">
        <f t="shared" si="274"/>
        <v>5000</v>
      </c>
      <c r="BX556" s="577">
        <f t="shared" si="275"/>
        <v>0</v>
      </c>
      <c r="BZ556" s="166">
        <v>5000</v>
      </c>
      <c r="CA556" s="166">
        <v>5000</v>
      </c>
      <c r="CC556" s="753"/>
      <c r="CE556" s="166">
        <v>5000</v>
      </c>
      <c r="CF556" s="166"/>
      <c r="CO556" s="16"/>
    </row>
    <row r="557" spans="1:93" x14ac:dyDescent="0.3">
      <c r="A557" s="11">
        <v>420</v>
      </c>
      <c r="B557" s="3" t="s">
        <v>2</v>
      </c>
      <c r="C557" s="37">
        <v>42005</v>
      </c>
      <c r="D557" s="37">
        <v>54100</v>
      </c>
      <c r="E557" s="49" t="s">
        <v>118</v>
      </c>
      <c r="F557" s="3" t="s">
        <v>2</v>
      </c>
      <c r="G557" s="3" t="s">
        <v>398</v>
      </c>
      <c r="H557" s="26">
        <v>62000</v>
      </c>
      <c r="I557" s="244">
        <v>-2000</v>
      </c>
      <c r="J557" s="16">
        <f t="shared" si="263"/>
        <v>60000</v>
      </c>
      <c r="K557" s="122">
        <f t="shared" si="264"/>
        <v>-3.2258064516129031E-2</v>
      </c>
      <c r="M557" s="117">
        <v>60000</v>
      </c>
      <c r="N557" s="117">
        <v>60000</v>
      </c>
      <c r="P557" s="259"/>
      <c r="R557" s="26">
        <v>60000</v>
      </c>
      <c r="S557" s="26">
        <v>31864.26</v>
      </c>
      <c r="U557" s="26">
        <v>60000</v>
      </c>
      <c r="V557" s="244">
        <v>-6000</v>
      </c>
      <c r="W557" s="16">
        <f t="shared" si="265"/>
        <v>54000</v>
      </c>
      <c r="X557" s="122">
        <f t="shared" si="266"/>
        <v>-0.1</v>
      </c>
      <c r="Z557" s="117">
        <v>54000</v>
      </c>
      <c r="AA557" s="117">
        <v>54000</v>
      </c>
      <c r="AC557" s="259"/>
      <c r="AE557" s="26">
        <v>54000</v>
      </c>
      <c r="AF557" s="200">
        <v>44636.54</v>
      </c>
      <c r="AH557" s="26">
        <v>54000</v>
      </c>
      <c r="AI557" s="244"/>
      <c r="AJ557" s="16">
        <f t="shared" si="267"/>
        <v>54000</v>
      </c>
      <c r="AK557" s="122">
        <f t="shared" si="268"/>
        <v>0</v>
      </c>
      <c r="AM557" s="117">
        <v>54000</v>
      </c>
      <c r="AN557" s="117">
        <v>54000</v>
      </c>
      <c r="AP557" s="259"/>
      <c r="AR557" s="26">
        <v>54000</v>
      </c>
      <c r="AS557" s="26">
        <v>35921.01</v>
      </c>
      <c r="AU557" s="26">
        <f t="shared" si="278"/>
        <v>54000</v>
      </c>
      <c r="AV557" s="244"/>
      <c r="AW557" s="16">
        <f t="shared" si="270"/>
        <v>54000</v>
      </c>
      <c r="AX557" s="122">
        <f t="shared" si="271"/>
        <v>0</v>
      </c>
      <c r="AZ557" s="117">
        <v>54000</v>
      </c>
      <c r="BA557" s="117">
        <v>35921.01</v>
      </c>
      <c r="BC557" s="259"/>
      <c r="BE557" s="26">
        <v>54000</v>
      </c>
      <c r="BF557" s="26">
        <v>39285.199999999997</v>
      </c>
      <c r="BH557" s="26">
        <v>54000</v>
      </c>
      <c r="BI557" s="244"/>
      <c r="BJ557" s="16">
        <f t="shared" si="272"/>
        <v>54000</v>
      </c>
      <c r="BK557" s="122">
        <f t="shared" si="273"/>
        <v>0</v>
      </c>
      <c r="BM557" s="117">
        <v>54000</v>
      </c>
      <c r="BN557" s="117">
        <v>54000</v>
      </c>
      <c r="BP557" s="259"/>
      <c r="BR557" s="117">
        <v>54000</v>
      </c>
      <c r="BS557" s="26">
        <v>32697.439999999999</v>
      </c>
      <c r="BU557" s="26">
        <v>54000</v>
      </c>
      <c r="BV557" s="244"/>
      <c r="BW557" s="576">
        <f t="shared" si="274"/>
        <v>54000</v>
      </c>
      <c r="BX557" s="577">
        <f t="shared" si="275"/>
        <v>0</v>
      </c>
      <c r="BZ557" s="166">
        <v>54000</v>
      </c>
      <c r="CA557" s="166">
        <v>54000</v>
      </c>
      <c r="CC557" s="753"/>
      <c r="CE557" s="166">
        <v>54000</v>
      </c>
      <c r="CF557" s="166"/>
      <c r="CO557" s="16"/>
    </row>
    <row r="558" spans="1:93" x14ac:dyDescent="0.3">
      <c r="A558" s="11">
        <v>420</v>
      </c>
      <c r="B558" s="3" t="s">
        <v>2</v>
      </c>
      <c r="C558" s="37">
        <v>42005</v>
      </c>
      <c r="D558" s="37">
        <v>54200</v>
      </c>
      <c r="E558" s="49" t="s">
        <v>118</v>
      </c>
      <c r="F558" s="3" t="s">
        <v>2</v>
      </c>
      <c r="G558" s="1" t="s">
        <v>935</v>
      </c>
      <c r="H558" s="26">
        <v>1500</v>
      </c>
      <c r="I558" s="244">
        <v>300</v>
      </c>
      <c r="J558" s="16">
        <f t="shared" si="263"/>
        <v>1800</v>
      </c>
      <c r="K558" s="122">
        <f t="shared" si="264"/>
        <v>0.2</v>
      </c>
      <c r="M558" s="117">
        <v>1800</v>
      </c>
      <c r="N558" s="117">
        <v>1800</v>
      </c>
      <c r="P558" s="259"/>
      <c r="R558" s="26">
        <v>1800</v>
      </c>
      <c r="S558" s="26">
        <v>1950.14</v>
      </c>
      <c r="U558" s="26">
        <v>1800</v>
      </c>
      <c r="V558" s="244">
        <v>0</v>
      </c>
      <c r="W558" s="16">
        <f t="shared" si="265"/>
        <v>1800</v>
      </c>
      <c r="X558" s="122">
        <f t="shared" si="266"/>
        <v>0</v>
      </c>
      <c r="Z558" s="117">
        <v>1800</v>
      </c>
      <c r="AA558" s="117">
        <v>1800</v>
      </c>
      <c r="AC558" s="259"/>
      <c r="AE558" s="26">
        <v>1800</v>
      </c>
      <c r="AF558" s="200">
        <v>2612.65</v>
      </c>
      <c r="AH558" s="26">
        <v>1800</v>
      </c>
      <c r="AI558" s="244"/>
      <c r="AJ558" s="16">
        <f t="shared" si="267"/>
        <v>1800</v>
      </c>
      <c r="AK558" s="122">
        <f t="shared" si="268"/>
        <v>0</v>
      </c>
      <c r="AM558" s="117">
        <v>1800</v>
      </c>
      <c r="AN558" s="117">
        <v>1800</v>
      </c>
      <c r="AP558" s="259"/>
      <c r="AR558" s="26">
        <v>1800</v>
      </c>
      <c r="AS558" s="26">
        <v>4698.33</v>
      </c>
      <c r="AU558" s="26">
        <f t="shared" si="278"/>
        <v>1800</v>
      </c>
      <c r="AV558" s="244">
        <v>1100</v>
      </c>
      <c r="AW558" s="16">
        <f t="shared" si="270"/>
        <v>2900</v>
      </c>
      <c r="AX558" s="122">
        <f t="shared" si="271"/>
        <v>0.61111111111111116</v>
      </c>
      <c r="AZ558" s="117">
        <v>1800</v>
      </c>
      <c r="BA558" s="117">
        <v>4698.33</v>
      </c>
      <c r="BC558" s="259"/>
      <c r="BE558" s="26">
        <v>1800</v>
      </c>
      <c r="BF558" s="26">
        <v>4757.3</v>
      </c>
      <c r="BH558" s="26">
        <v>1800</v>
      </c>
      <c r="BI558" s="403">
        <v>680</v>
      </c>
      <c r="BJ558" s="16">
        <f t="shared" si="272"/>
        <v>2480</v>
      </c>
      <c r="BK558" s="122">
        <f t="shared" si="273"/>
        <v>0.37777777777777777</v>
      </c>
      <c r="BM558" s="117">
        <v>2480</v>
      </c>
      <c r="BN558" s="117">
        <v>2480</v>
      </c>
      <c r="BP558" s="399" t="s">
        <v>1120</v>
      </c>
      <c r="BR558" s="117">
        <v>2480</v>
      </c>
      <c r="BS558" s="26">
        <v>2236.5</v>
      </c>
      <c r="BU558" s="26">
        <v>2480</v>
      </c>
      <c r="BV558" s="244"/>
      <c r="BW558" s="576">
        <f t="shared" si="274"/>
        <v>2480</v>
      </c>
      <c r="BX558" s="577">
        <f t="shared" si="275"/>
        <v>0</v>
      </c>
      <c r="BZ558" s="166">
        <v>2480</v>
      </c>
      <c r="CA558" s="166">
        <v>2480</v>
      </c>
      <c r="CC558" s="754"/>
      <c r="CE558" s="166">
        <v>2480</v>
      </c>
      <c r="CF558" s="166"/>
      <c r="CO558" s="16"/>
    </row>
    <row r="559" spans="1:93" x14ac:dyDescent="0.3">
      <c r="A559" s="11">
        <v>420</v>
      </c>
      <c r="B559" s="3" t="s">
        <v>2</v>
      </c>
      <c r="C559" s="37">
        <v>42005</v>
      </c>
      <c r="D559" s="37">
        <v>54202</v>
      </c>
      <c r="E559" s="49" t="s">
        <v>118</v>
      </c>
      <c r="F559" s="3" t="s">
        <v>2</v>
      </c>
      <c r="G559" s="1" t="s">
        <v>934</v>
      </c>
      <c r="H559" s="26">
        <v>1100</v>
      </c>
      <c r="I559" s="244"/>
      <c r="J559" s="16">
        <f>H559+I559</f>
        <v>1100</v>
      </c>
      <c r="K559" s="122">
        <f>IF(H559=0," ",(J559-H559)/H559)</f>
        <v>0</v>
      </c>
      <c r="M559" s="117">
        <v>1100</v>
      </c>
      <c r="N559" s="117">
        <v>1100</v>
      </c>
      <c r="P559" s="259"/>
      <c r="R559" s="26">
        <v>1100</v>
      </c>
      <c r="S559" s="26">
        <v>680.93</v>
      </c>
      <c r="U559" s="26">
        <v>1100</v>
      </c>
      <c r="V559" s="244">
        <v>0</v>
      </c>
      <c r="W559" s="16">
        <f>U559+V559</f>
        <v>1100</v>
      </c>
      <c r="X559" s="122">
        <f>IF(U559=0," ",(W559-U559)/U559)</f>
        <v>0</v>
      </c>
      <c r="Z559" s="117">
        <v>1100</v>
      </c>
      <c r="AA559" s="117">
        <v>1100</v>
      </c>
      <c r="AC559" s="259"/>
      <c r="AE559" s="26">
        <v>1100</v>
      </c>
      <c r="AF559" s="200">
        <v>149.99</v>
      </c>
      <c r="AH559" s="26">
        <v>1100</v>
      </c>
      <c r="AI559" s="244"/>
      <c r="AJ559" s="16">
        <f>AH559+AI559</f>
        <v>1100</v>
      </c>
      <c r="AK559" s="122">
        <f>IF(AH559=0," ",(AJ559-AH559)/AH559)</f>
        <v>0</v>
      </c>
      <c r="AM559" s="117">
        <v>1100</v>
      </c>
      <c r="AN559" s="117">
        <v>1100</v>
      </c>
      <c r="AP559" s="259"/>
      <c r="AR559" s="26">
        <v>1100</v>
      </c>
      <c r="AS559" s="26">
        <v>898.64</v>
      </c>
      <c r="AU559" s="26">
        <f t="shared" si="278"/>
        <v>1100</v>
      </c>
      <c r="AV559" s="244">
        <v>-1100</v>
      </c>
      <c r="AW559" s="16">
        <f>AU559+AV559</f>
        <v>0</v>
      </c>
      <c r="AX559" s="122">
        <f>IF(AU559=0," ",(AW559-AU559)/AU559)</f>
        <v>-1</v>
      </c>
      <c r="AZ559" s="117">
        <v>1100</v>
      </c>
      <c r="BA559" s="117">
        <v>898.64</v>
      </c>
      <c r="BC559" s="259"/>
      <c r="BE559" s="26">
        <v>1100</v>
      </c>
      <c r="BF559" s="26">
        <v>0</v>
      </c>
      <c r="BH559" s="26">
        <v>1100</v>
      </c>
      <c r="BI559" s="244"/>
      <c r="BJ559" s="16">
        <f t="shared" si="272"/>
        <v>1100</v>
      </c>
      <c r="BK559" s="122">
        <f t="shared" si="273"/>
        <v>0</v>
      </c>
      <c r="BM559" s="117">
        <v>1100</v>
      </c>
      <c r="BN559" s="117">
        <v>1100</v>
      </c>
      <c r="BP559" s="259"/>
      <c r="BR559" s="117">
        <v>1100</v>
      </c>
      <c r="BS559" s="26">
        <v>673.06</v>
      </c>
      <c r="BU559" s="26">
        <v>1100</v>
      </c>
      <c r="BV559" s="244"/>
      <c r="BW559" s="576">
        <f t="shared" si="274"/>
        <v>1100</v>
      </c>
      <c r="BX559" s="577">
        <f t="shared" si="275"/>
        <v>0</v>
      </c>
      <c r="BZ559" s="166">
        <v>1100</v>
      </c>
      <c r="CA559" s="166">
        <v>1100</v>
      </c>
      <c r="CC559" s="753"/>
      <c r="CE559" s="166">
        <v>1100</v>
      </c>
      <c r="CF559" s="166"/>
      <c r="CO559" s="16"/>
    </row>
    <row r="560" spans="1:93" x14ac:dyDescent="0.3">
      <c r="A560" s="11">
        <v>420</v>
      </c>
      <c r="B560" s="3" t="s">
        <v>2</v>
      </c>
      <c r="C560" s="37">
        <v>42005</v>
      </c>
      <c r="D560" s="37">
        <v>54300</v>
      </c>
      <c r="E560" s="49" t="s">
        <v>118</v>
      </c>
      <c r="F560" s="3" t="s">
        <v>2</v>
      </c>
      <c r="G560" s="3" t="s">
        <v>408</v>
      </c>
      <c r="H560" s="26">
        <v>1000</v>
      </c>
      <c r="I560" s="244"/>
      <c r="J560" s="16">
        <f t="shared" si="263"/>
        <v>1000</v>
      </c>
      <c r="K560" s="122">
        <f t="shared" si="264"/>
        <v>0</v>
      </c>
      <c r="M560" s="117">
        <v>1000</v>
      </c>
      <c r="N560" s="117">
        <v>1000</v>
      </c>
      <c r="P560" s="259"/>
      <c r="R560" s="26">
        <v>1000</v>
      </c>
      <c r="S560" s="26">
        <v>1751.37</v>
      </c>
      <c r="U560" s="26">
        <v>1000</v>
      </c>
      <c r="V560" s="244">
        <v>0</v>
      </c>
      <c r="W560" s="16">
        <f t="shared" si="265"/>
        <v>1000</v>
      </c>
      <c r="X560" s="122">
        <f t="shared" si="266"/>
        <v>0</v>
      </c>
      <c r="Z560" s="117">
        <v>1000</v>
      </c>
      <c r="AA560" s="117">
        <v>1000</v>
      </c>
      <c r="AC560" s="259"/>
      <c r="AE560" s="26">
        <v>1000</v>
      </c>
      <c r="AF560" s="200">
        <v>217.02</v>
      </c>
      <c r="AH560" s="26">
        <v>1000</v>
      </c>
      <c r="AI560" s="244"/>
      <c r="AJ560" s="16">
        <f t="shared" si="267"/>
        <v>1000</v>
      </c>
      <c r="AK560" s="122">
        <f t="shared" si="268"/>
        <v>0</v>
      </c>
      <c r="AM560" s="117">
        <v>1000</v>
      </c>
      <c r="AN560" s="117">
        <v>1000</v>
      </c>
      <c r="AP560" s="259"/>
      <c r="AR560" s="26">
        <v>1000</v>
      </c>
      <c r="AS560" s="26">
        <v>0</v>
      </c>
      <c r="AU560" s="26">
        <f t="shared" si="278"/>
        <v>1000</v>
      </c>
      <c r="AV560" s="244"/>
      <c r="AW560" s="16">
        <f t="shared" si="270"/>
        <v>1000</v>
      </c>
      <c r="AX560" s="122">
        <f t="shared" si="271"/>
        <v>0</v>
      </c>
      <c r="AZ560" s="117">
        <v>1000</v>
      </c>
      <c r="BA560" s="117">
        <v>0</v>
      </c>
      <c r="BC560" s="259"/>
      <c r="BE560" s="26">
        <v>1000</v>
      </c>
      <c r="BF560" s="26">
        <v>1000</v>
      </c>
      <c r="BH560" s="26">
        <v>1000</v>
      </c>
      <c r="BI560" s="403">
        <v>-1000</v>
      </c>
      <c r="BJ560" s="16">
        <f t="shared" si="272"/>
        <v>0</v>
      </c>
      <c r="BK560" s="122">
        <f t="shared" si="273"/>
        <v>-1</v>
      </c>
      <c r="BM560" s="117">
        <v>0</v>
      </c>
      <c r="BN560" s="117">
        <v>0</v>
      </c>
      <c r="BP560" s="399" t="s">
        <v>1120</v>
      </c>
      <c r="BR560" s="117">
        <v>0</v>
      </c>
      <c r="BS560" s="26"/>
      <c r="BU560" s="26">
        <v>0</v>
      </c>
      <c r="BV560" s="244"/>
      <c r="BW560" s="576">
        <f t="shared" si="274"/>
        <v>0</v>
      </c>
      <c r="BX560" s="577" t="str">
        <f t="shared" si="275"/>
        <v xml:space="preserve"> </v>
      </c>
      <c r="BZ560" s="166">
        <v>0</v>
      </c>
      <c r="CA560" s="166">
        <v>0</v>
      </c>
      <c r="CC560" s="754"/>
      <c r="CE560" s="166">
        <v>0</v>
      </c>
      <c r="CF560" s="166"/>
      <c r="CO560" s="16"/>
    </row>
    <row r="561" spans="1:93" x14ac:dyDescent="0.3">
      <c r="A561" s="11">
        <v>420</v>
      </c>
      <c r="B561" s="3" t="s">
        <v>2</v>
      </c>
      <c r="C561" s="37">
        <v>42005</v>
      </c>
      <c r="D561" s="37">
        <v>54400</v>
      </c>
      <c r="E561" s="49" t="s">
        <v>118</v>
      </c>
      <c r="F561" s="3" t="s">
        <v>2</v>
      </c>
      <c r="G561" s="3" t="s">
        <v>1472</v>
      </c>
      <c r="H561" s="26">
        <v>3250</v>
      </c>
      <c r="I561" s="244">
        <v>65</v>
      </c>
      <c r="J561" s="16">
        <f t="shared" si="263"/>
        <v>3315</v>
      </c>
      <c r="K561" s="122">
        <f t="shared" si="264"/>
        <v>0.02</v>
      </c>
      <c r="M561" s="117">
        <v>3315</v>
      </c>
      <c r="N561" s="117">
        <v>3315</v>
      </c>
      <c r="P561" s="259"/>
      <c r="R561" s="26">
        <v>3315</v>
      </c>
      <c r="S561" s="26">
        <v>591</v>
      </c>
      <c r="U561" s="26">
        <v>3315</v>
      </c>
      <c r="V561" s="244">
        <v>0</v>
      </c>
      <c r="W561" s="16">
        <f t="shared" si="265"/>
        <v>3315</v>
      </c>
      <c r="X561" s="122">
        <f t="shared" si="266"/>
        <v>0</v>
      </c>
      <c r="Z561" s="117">
        <v>3315</v>
      </c>
      <c r="AA561" s="117">
        <v>3315</v>
      </c>
      <c r="AC561" s="259"/>
      <c r="AE561" s="26">
        <v>3315</v>
      </c>
      <c r="AF561" s="200">
        <v>2696.44</v>
      </c>
      <c r="AH561" s="26">
        <v>3315</v>
      </c>
      <c r="AI561" s="244"/>
      <c r="AJ561" s="16">
        <f t="shared" si="267"/>
        <v>3315</v>
      </c>
      <c r="AK561" s="122">
        <f t="shared" si="268"/>
        <v>0</v>
      </c>
      <c r="AM561" s="117">
        <v>3315</v>
      </c>
      <c r="AN561" s="117">
        <v>3315</v>
      </c>
      <c r="AP561" s="259"/>
      <c r="AR561" s="26">
        <v>3315</v>
      </c>
      <c r="AS561" s="26">
        <v>3940.74</v>
      </c>
      <c r="AU561" s="26">
        <f t="shared" si="278"/>
        <v>3315</v>
      </c>
      <c r="AV561" s="244"/>
      <c r="AW561" s="16">
        <f t="shared" si="270"/>
        <v>3315</v>
      </c>
      <c r="AX561" s="122">
        <f t="shared" si="271"/>
        <v>0</v>
      </c>
      <c r="AZ561" s="117">
        <v>3315</v>
      </c>
      <c r="BA561" s="117">
        <v>3940.74</v>
      </c>
      <c r="BC561" s="259"/>
      <c r="BE561" s="26">
        <v>3315</v>
      </c>
      <c r="BF561" s="26">
        <v>3315</v>
      </c>
      <c r="BH561" s="26">
        <v>3315</v>
      </c>
      <c r="BI561" s="403">
        <v>-3315</v>
      </c>
      <c r="BJ561" s="16">
        <f t="shared" si="272"/>
        <v>0</v>
      </c>
      <c r="BK561" s="122">
        <f t="shared" si="273"/>
        <v>-1</v>
      </c>
      <c r="BM561" s="117">
        <v>0</v>
      </c>
      <c r="BN561" s="117">
        <v>0</v>
      </c>
      <c r="BP561" s="399" t="s">
        <v>1120</v>
      </c>
      <c r="BR561" s="117">
        <v>0</v>
      </c>
      <c r="BS561" s="26">
        <v>225</v>
      </c>
      <c r="BU561" s="26">
        <v>0</v>
      </c>
      <c r="BV561" s="244"/>
      <c r="BW561" s="576">
        <f t="shared" si="274"/>
        <v>0</v>
      </c>
      <c r="BX561" s="577" t="str">
        <f t="shared" si="275"/>
        <v xml:space="preserve"> </v>
      </c>
      <c r="BZ561" s="166">
        <v>0</v>
      </c>
      <c r="CA561" s="166">
        <v>0</v>
      </c>
      <c r="CC561" s="754"/>
      <c r="CE561" s="166">
        <v>0</v>
      </c>
      <c r="CF561" s="166"/>
      <c r="CO561" s="16"/>
    </row>
    <row r="562" spans="1:93" x14ac:dyDescent="0.3">
      <c r="A562" s="11">
        <v>420</v>
      </c>
      <c r="B562" s="3" t="s">
        <v>2</v>
      </c>
      <c r="C562" s="37">
        <v>42005</v>
      </c>
      <c r="D562" s="37">
        <v>54500</v>
      </c>
      <c r="E562" s="49" t="s">
        <v>118</v>
      </c>
      <c r="F562" s="3" t="s">
        <v>2</v>
      </c>
      <c r="G562" s="3" t="s">
        <v>399</v>
      </c>
      <c r="H562" s="26">
        <v>500</v>
      </c>
      <c r="I562" s="244">
        <v>250</v>
      </c>
      <c r="J562" s="16">
        <f t="shared" si="263"/>
        <v>750</v>
      </c>
      <c r="K562" s="122">
        <f t="shared" si="264"/>
        <v>0.5</v>
      </c>
      <c r="M562" s="117">
        <v>750</v>
      </c>
      <c r="N562" s="117">
        <v>750</v>
      </c>
      <c r="P562" s="259"/>
      <c r="R562" s="26">
        <v>750</v>
      </c>
      <c r="S562" s="26">
        <v>765.62</v>
      </c>
      <c r="U562" s="26">
        <v>750</v>
      </c>
      <c r="V562" s="244">
        <v>0</v>
      </c>
      <c r="W562" s="16">
        <f t="shared" si="265"/>
        <v>750</v>
      </c>
      <c r="X562" s="122">
        <f t="shared" si="266"/>
        <v>0</v>
      </c>
      <c r="Z562" s="117">
        <v>750</v>
      </c>
      <c r="AA562" s="117">
        <v>750</v>
      </c>
      <c r="AC562" s="259"/>
      <c r="AE562" s="26">
        <v>750</v>
      </c>
      <c r="AF562" s="200">
        <v>299.17</v>
      </c>
      <c r="AH562" s="26">
        <v>750</v>
      </c>
      <c r="AI562" s="244"/>
      <c r="AJ562" s="16">
        <f t="shared" si="267"/>
        <v>750</v>
      </c>
      <c r="AK562" s="122">
        <f t="shared" si="268"/>
        <v>0</v>
      </c>
      <c r="AM562" s="117">
        <v>750</v>
      </c>
      <c r="AN562" s="117">
        <v>750</v>
      </c>
      <c r="AP562" s="259"/>
      <c r="AR562" s="26">
        <v>750</v>
      </c>
      <c r="AS562" s="26">
        <v>1244.01</v>
      </c>
      <c r="AU562" s="26">
        <f t="shared" si="278"/>
        <v>750</v>
      </c>
      <c r="AV562" s="244"/>
      <c r="AW562" s="16">
        <f t="shared" si="270"/>
        <v>750</v>
      </c>
      <c r="AX562" s="122">
        <f t="shared" si="271"/>
        <v>0</v>
      </c>
      <c r="AZ562" s="117">
        <v>750</v>
      </c>
      <c r="BA562" s="117">
        <v>1244.01</v>
      </c>
      <c r="BC562" s="259"/>
      <c r="BE562" s="26">
        <v>750</v>
      </c>
      <c r="BF562" s="26">
        <v>665.01</v>
      </c>
      <c r="BH562" s="26">
        <v>750</v>
      </c>
      <c r="BI562" s="244"/>
      <c r="BJ562" s="16">
        <f t="shared" si="272"/>
        <v>750</v>
      </c>
      <c r="BK562" s="122">
        <f t="shared" si="273"/>
        <v>0</v>
      </c>
      <c r="BM562" s="117">
        <v>750</v>
      </c>
      <c r="BN562" s="117">
        <v>750</v>
      </c>
      <c r="BP562" s="259"/>
      <c r="BR562" s="117">
        <v>750</v>
      </c>
      <c r="BS562" s="26">
        <v>270.43</v>
      </c>
      <c r="BU562" s="26">
        <v>750</v>
      </c>
      <c r="BV562" s="244"/>
      <c r="BW562" s="576">
        <f t="shared" si="274"/>
        <v>750</v>
      </c>
      <c r="BX562" s="577">
        <f t="shared" si="275"/>
        <v>0</v>
      </c>
      <c r="BZ562" s="166">
        <v>750</v>
      </c>
      <c r="CA562" s="166">
        <v>750</v>
      </c>
      <c r="CC562" s="753"/>
      <c r="CE562" s="166">
        <v>750</v>
      </c>
      <c r="CF562" s="166"/>
      <c r="CO562" s="16"/>
    </row>
    <row r="563" spans="1:93" x14ac:dyDescent="0.3">
      <c r="A563" s="11">
        <v>420</v>
      </c>
      <c r="B563" s="3" t="s">
        <v>2</v>
      </c>
      <c r="C563" s="37">
        <v>42005</v>
      </c>
      <c r="D563" s="37">
        <v>54810</v>
      </c>
      <c r="E563" s="49" t="s">
        <v>118</v>
      </c>
      <c r="F563" s="3" t="s">
        <v>2</v>
      </c>
      <c r="G563" s="3" t="s">
        <v>409</v>
      </c>
      <c r="H563" s="26">
        <v>2120</v>
      </c>
      <c r="I563" s="244"/>
      <c r="J563" s="16">
        <f t="shared" si="263"/>
        <v>2120</v>
      </c>
      <c r="K563" s="122">
        <f t="shared" si="264"/>
        <v>0</v>
      </c>
      <c r="M563" s="117">
        <v>2120</v>
      </c>
      <c r="N563" s="117">
        <v>2120</v>
      </c>
      <c r="P563" s="259"/>
      <c r="R563" s="26">
        <v>2120</v>
      </c>
      <c r="S563" s="26">
        <v>661.65</v>
      </c>
      <c r="U563" s="26">
        <v>2120</v>
      </c>
      <c r="V563" s="244">
        <v>0</v>
      </c>
      <c r="W563" s="16">
        <f t="shared" si="265"/>
        <v>2120</v>
      </c>
      <c r="X563" s="122">
        <f t="shared" si="266"/>
        <v>0</v>
      </c>
      <c r="Z563" s="117">
        <v>2120</v>
      </c>
      <c r="AA563" s="117">
        <v>2120</v>
      </c>
      <c r="AC563" s="259"/>
      <c r="AE563" s="26">
        <v>2120</v>
      </c>
      <c r="AF563" s="200">
        <v>2143.75</v>
      </c>
      <c r="AH563" s="26">
        <v>2120</v>
      </c>
      <c r="AI563" s="244"/>
      <c r="AJ563" s="16">
        <f t="shared" si="267"/>
        <v>2120</v>
      </c>
      <c r="AK563" s="122">
        <f t="shared" si="268"/>
        <v>0</v>
      </c>
      <c r="AM563" s="117">
        <v>2120</v>
      </c>
      <c r="AN563" s="117">
        <v>2120</v>
      </c>
      <c r="AP563" s="259"/>
      <c r="AR563" s="26">
        <v>2120</v>
      </c>
      <c r="AS563" s="26">
        <v>3337.92</v>
      </c>
      <c r="AU563" s="26">
        <f t="shared" si="278"/>
        <v>2120</v>
      </c>
      <c r="AV563" s="244"/>
      <c r="AW563" s="16">
        <f t="shared" si="270"/>
        <v>2120</v>
      </c>
      <c r="AX563" s="122">
        <f t="shared" si="271"/>
        <v>0</v>
      </c>
      <c r="AZ563" s="117">
        <v>2120</v>
      </c>
      <c r="BA563" s="117">
        <v>3337.92</v>
      </c>
      <c r="BC563" s="259"/>
      <c r="BE563" s="26">
        <v>2120</v>
      </c>
      <c r="BF563" s="26">
        <v>1233.76</v>
      </c>
      <c r="BH563" s="26">
        <v>2120</v>
      </c>
      <c r="BI563" s="244"/>
      <c r="BJ563" s="16">
        <f t="shared" si="272"/>
        <v>2120</v>
      </c>
      <c r="BK563" s="122">
        <f t="shared" si="273"/>
        <v>0</v>
      </c>
      <c r="BM563" s="117">
        <v>2120</v>
      </c>
      <c r="BN563" s="117">
        <v>2120</v>
      </c>
      <c r="BP563" s="259"/>
      <c r="BR563" s="117">
        <v>2120</v>
      </c>
      <c r="BS563" s="26"/>
      <c r="BU563" s="26">
        <v>2120</v>
      </c>
      <c r="BV563" s="244"/>
      <c r="BW563" s="576">
        <f t="shared" si="274"/>
        <v>2120</v>
      </c>
      <c r="BX563" s="577">
        <f t="shared" si="275"/>
        <v>0</v>
      </c>
      <c r="BZ563" s="166">
        <v>2120</v>
      </c>
      <c r="CA563" s="166">
        <v>2120</v>
      </c>
      <c r="CC563" s="753"/>
      <c r="CE563" s="166">
        <v>2120</v>
      </c>
      <c r="CF563" s="166"/>
      <c r="CO563" s="16"/>
    </row>
    <row r="564" spans="1:93" x14ac:dyDescent="0.3">
      <c r="A564" s="11">
        <v>420</v>
      </c>
      <c r="B564" s="3" t="s">
        <v>2</v>
      </c>
      <c r="C564" s="37">
        <v>42005</v>
      </c>
      <c r="D564" s="37">
        <v>54820</v>
      </c>
      <c r="E564" s="49" t="s">
        <v>118</v>
      </c>
      <c r="F564" s="3" t="s">
        <v>2</v>
      </c>
      <c r="G564" s="3" t="s">
        <v>410</v>
      </c>
      <c r="H564" s="26">
        <v>2620</v>
      </c>
      <c r="I564" s="244">
        <v>880</v>
      </c>
      <c r="J564" s="16">
        <f t="shared" si="263"/>
        <v>3500</v>
      </c>
      <c r="K564" s="122">
        <f t="shared" si="264"/>
        <v>0.33587786259541985</v>
      </c>
      <c r="M564" s="117">
        <v>3500</v>
      </c>
      <c r="N564" s="117">
        <v>3500</v>
      </c>
      <c r="P564" s="259"/>
      <c r="R564" s="26">
        <v>3500</v>
      </c>
      <c r="S564" s="26">
        <v>2284.84</v>
      </c>
      <c r="U564" s="26">
        <v>3500</v>
      </c>
      <c r="V564" s="244">
        <v>0</v>
      </c>
      <c r="W564" s="16">
        <f t="shared" si="265"/>
        <v>3500</v>
      </c>
      <c r="X564" s="122">
        <f t="shared" si="266"/>
        <v>0</v>
      </c>
      <c r="Z564" s="117">
        <v>3500</v>
      </c>
      <c r="AA564" s="117">
        <v>3500</v>
      </c>
      <c r="AC564" s="259"/>
      <c r="AE564" s="26">
        <v>3500</v>
      </c>
      <c r="AF564" s="200">
        <v>2481</v>
      </c>
      <c r="AH564" s="26">
        <v>3500</v>
      </c>
      <c r="AI564" s="244"/>
      <c r="AJ564" s="16">
        <f t="shared" si="267"/>
        <v>3500</v>
      </c>
      <c r="AK564" s="122">
        <f t="shared" si="268"/>
        <v>0</v>
      </c>
      <c r="AM564" s="117">
        <v>3500</v>
      </c>
      <c r="AN564" s="117">
        <v>3500</v>
      </c>
      <c r="AP564" s="259"/>
      <c r="AR564" s="26">
        <v>3500</v>
      </c>
      <c r="AS564" s="26">
        <v>3235.77</v>
      </c>
      <c r="AU564" s="26">
        <f t="shared" si="278"/>
        <v>3500</v>
      </c>
      <c r="AV564" s="244"/>
      <c r="AW564" s="16">
        <f t="shared" si="270"/>
        <v>3500</v>
      </c>
      <c r="AX564" s="122">
        <f t="shared" si="271"/>
        <v>0</v>
      </c>
      <c r="AZ564" s="117">
        <v>3500</v>
      </c>
      <c r="BA564" s="117">
        <v>3235.77</v>
      </c>
      <c r="BC564" s="259"/>
      <c r="BE564" s="26">
        <v>3500</v>
      </c>
      <c r="BF564" s="26">
        <v>4945.6499999999996</v>
      </c>
      <c r="BH564" s="26">
        <v>3500</v>
      </c>
      <c r="BI564" s="244"/>
      <c r="BJ564" s="16">
        <f t="shared" si="272"/>
        <v>3500</v>
      </c>
      <c r="BK564" s="122">
        <f t="shared" si="273"/>
        <v>0</v>
      </c>
      <c r="BM564" s="117">
        <v>3500</v>
      </c>
      <c r="BN564" s="117">
        <v>3500</v>
      </c>
      <c r="BP564" s="259"/>
      <c r="BR564" s="117">
        <v>3500</v>
      </c>
      <c r="BS564" s="26">
        <v>1124.3</v>
      </c>
      <c r="BU564" s="26">
        <v>3500</v>
      </c>
      <c r="BV564" s="244"/>
      <c r="BW564" s="576">
        <f t="shared" si="274"/>
        <v>3500</v>
      </c>
      <c r="BX564" s="577">
        <f t="shared" si="275"/>
        <v>0</v>
      </c>
      <c r="BZ564" s="166">
        <v>3500</v>
      </c>
      <c r="CA564" s="166">
        <v>3500</v>
      </c>
      <c r="CC564" s="753"/>
      <c r="CE564" s="166">
        <v>3500</v>
      </c>
      <c r="CF564" s="166"/>
      <c r="CO564" s="16"/>
    </row>
    <row r="565" spans="1:93" x14ac:dyDescent="0.3">
      <c r="A565" s="11">
        <v>420</v>
      </c>
      <c r="B565" s="3" t="s">
        <v>2</v>
      </c>
      <c r="C565" s="37">
        <v>42005</v>
      </c>
      <c r="D565" s="37">
        <v>54830</v>
      </c>
      <c r="E565" s="49" t="s">
        <v>118</v>
      </c>
      <c r="F565" s="3" t="s">
        <v>2</v>
      </c>
      <c r="G565" s="3" t="s">
        <v>411</v>
      </c>
      <c r="H565" s="26">
        <v>24565</v>
      </c>
      <c r="I565" s="244">
        <v>491.3</v>
      </c>
      <c r="J565" s="16">
        <f t="shared" si="263"/>
        <v>25056.3</v>
      </c>
      <c r="K565" s="122">
        <f t="shared" si="264"/>
        <v>1.9999999999999969E-2</v>
      </c>
      <c r="M565" s="117">
        <v>25056</v>
      </c>
      <c r="N565" s="117">
        <v>25056</v>
      </c>
      <c r="P565" s="259"/>
      <c r="R565" s="26">
        <v>25056</v>
      </c>
      <c r="S565" s="26">
        <v>23450.27</v>
      </c>
      <c r="U565" s="26">
        <v>25056</v>
      </c>
      <c r="V565" s="244">
        <v>0</v>
      </c>
      <c r="W565" s="16">
        <f t="shared" si="265"/>
        <v>25056</v>
      </c>
      <c r="X565" s="122">
        <f t="shared" si="266"/>
        <v>0</v>
      </c>
      <c r="Z565" s="117">
        <v>25056</v>
      </c>
      <c r="AA565" s="117">
        <v>25056</v>
      </c>
      <c r="AC565" s="259"/>
      <c r="AE565" s="26">
        <v>25056</v>
      </c>
      <c r="AF565" s="200">
        <v>31097.93</v>
      </c>
      <c r="AH565" s="26">
        <v>25056</v>
      </c>
      <c r="AI565" s="244"/>
      <c r="AJ565" s="16">
        <f t="shared" si="267"/>
        <v>25056</v>
      </c>
      <c r="AK565" s="122">
        <f t="shared" si="268"/>
        <v>0</v>
      </c>
      <c r="AM565" s="117">
        <v>25056</v>
      </c>
      <c r="AN565" s="117">
        <v>25056</v>
      </c>
      <c r="AP565" s="259"/>
      <c r="AR565" s="26">
        <v>25056</v>
      </c>
      <c r="AS565" s="26">
        <v>12489.63</v>
      </c>
      <c r="AU565" s="26">
        <f t="shared" si="278"/>
        <v>25056</v>
      </c>
      <c r="AV565" s="244"/>
      <c r="AW565" s="16">
        <f t="shared" si="270"/>
        <v>25056</v>
      </c>
      <c r="AX565" s="122">
        <f t="shared" si="271"/>
        <v>0</v>
      </c>
      <c r="AZ565" s="117">
        <v>25056</v>
      </c>
      <c r="BA565" s="117">
        <v>12489.63</v>
      </c>
      <c r="BC565" s="259"/>
      <c r="BE565" s="26">
        <v>25056</v>
      </c>
      <c r="BF565" s="26">
        <v>16925.48</v>
      </c>
      <c r="BH565" s="26">
        <v>25056</v>
      </c>
      <c r="BI565" s="244"/>
      <c r="BJ565" s="16">
        <f t="shared" si="272"/>
        <v>25056</v>
      </c>
      <c r="BK565" s="122">
        <f t="shared" si="273"/>
        <v>0</v>
      </c>
      <c r="BM565" s="117">
        <v>25056</v>
      </c>
      <c r="BN565" s="117">
        <v>25056</v>
      </c>
      <c r="BP565" s="259"/>
      <c r="BR565" s="117">
        <v>25056</v>
      </c>
      <c r="BS565" s="26">
        <v>6896.91</v>
      </c>
      <c r="BU565" s="26">
        <v>25056</v>
      </c>
      <c r="BV565" s="244"/>
      <c r="BW565" s="576">
        <f t="shared" si="274"/>
        <v>25056</v>
      </c>
      <c r="BX565" s="577">
        <f t="shared" si="275"/>
        <v>0</v>
      </c>
      <c r="BZ565" s="166">
        <v>25056</v>
      </c>
      <c r="CA565" s="166">
        <v>25056</v>
      </c>
      <c r="CC565" s="753"/>
      <c r="CE565" s="166">
        <v>25056</v>
      </c>
      <c r="CF565" s="166"/>
      <c r="CO565" s="16"/>
    </row>
    <row r="566" spans="1:93" x14ac:dyDescent="0.3">
      <c r="A566" s="11">
        <v>420</v>
      </c>
      <c r="B566" s="3" t="s">
        <v>2</v>
      </c>
      <c r="C566" s="37">
        <v>42005</v>
      </c>
      <c r="D566" s="37">
        <v>55050</v>
      </c>
      <c r="E566" s="49" t="s">
        <v>118</v>
      </c>
      <c r="F566" s="3" t="s">
        <v>2</v>
      </c>
      <c r="G566" s="3" t="s">
        <v>401</v>
      </c>
      <c r="H566" s="26">
        <v>150</v>
      </c>
      <c r="I566" s="244">
        <v>50</v>
      </c>
      <c r="J566" s="16">
        <f t="shared" si="263"/>
        <v>200</v>
      </c>
      <c r="K566" s="122">
        <f t="shared" si="264"/>
        <v>0.33333333333333331</v>
      </c>
      <c r="M566" s="117">
        <v>200</v>
      </c>
      <c r="N566" s="117">
        <v>200</v>
      </c>
      <c r="P566" s="259"/>
      <c r="R566" s="26">
        <v>200</v>
      </c>
      <c r="S566" s="26">
        <v>118.99</v>
      </c>
      <c r="U566" s="26">
        <v>200</v>
      </c>
      <c r="V566" s="244">
        <v>0</v>
      </c>
      <c r="W566" s="16">
        <f t="shared" si="265"/>
        <v>200</v>
      </c>
      <c r="X566" s="122">
        <f t="shared" si="266"/>
        <v>0</v>
      </c>
      <c r="Z566" s="117">
        <v>200</v>
      </c>
      <c r="AA566" s="117">
        <v>200</v>
      </c>
      <c r="AC566" s="259"/>
      <c r="AE566" s="26">
        <v>200</v>
      </c>
      <c r="AF566" s="200">
        <v>140.94</v>
      </c>
      <c r="AH566" s="26">
        <v>200</v>
      </c>
      <c r="AI566" s="244"/>
      <c r="AJ566" s="16">
        <f t="shared" si="267"/>
        <v>200</v>
      </c>
      <c r="AK566" s="122">
        <f t="shared" si="268"/>
        <v>0</v>
      </c>
      <c r="AM566" s="117">
        <v>200</v>
      </c>
      <c r="AN566" s="117">
        <v>200</v>
      </c>
      <c r="AP566" s="259"/>
      <c r="AR566" s="26">
        <v>200</v>
      </c>
      <c r="AS566" s="26">
        <v>43.07</v>
      </c>
      <c r="AU566" s="26">
        <f t="shared" si="278"/>
        <v>200</v>
      </c>
      <c r="AV566" s="244"/>
      <c r="AW566" s="16">
        <f t="shared" si="270"/>
        <v>200</v>
      </c>
      <c r="AX566" s="122">
        <f t="shared" si="271"/>
        <v>0</v>
      </c>
      <c r="AZ566" s="117">
        <v>200</v>
      </c>
      <c r="BA566" s="117">
        <v>43.07</v>
      </c>
      <c r="BC566" s="259"/>
      <c r="BE566" s="26">
        <v>200</v>
      </c>
      <c r="BF566" s="26">
        <v>307.94</v>
      </c>
      <c r="BH566" s="26">
        <v>200</v>
      </c>
      <c r="BI566" s="244"/>
      <c r="BJ566" s="16">
        <f t="shared" si="272"/>
        <v>200</v>
      </c>
      <c r="BK566" s="122">
        <f t="shared" si="273"/>
        <v>0</v>
      </c>
      <c r="BM566" s="117">
        <v>200</v>
      </c>
      <c r="BN566" s="117">
        <v>200</v>
      </c>
      <c r="BP566" s="259"/>
      <c r="BR566" s="117">
        <v>200</v>
      </c>
      <c r="BS566" s="26"/>
      <c r="BU566" s="26">
        <v>200</v>
      </c>
      <c r="BV566" s="244"/>
      <c r="BW566" s="576">
        <f t="shared" si="274"/>
        <v>200</v>
      </c>
      <c r="BX566" s="577">
        <f t="shared" si="275"/>
        <v>0</v>
      </c>
      <c r="BZ566" s="166">
        <v>200</v>
      </c>
      <c r="CA566" s="166">
        <v>200</v>
      </c>
      <c r="CC566" s="753"/>
      <c r="CE566" s="166">
        <v>200</v>
      </c>
      <c r="CF566" s="166"/>
      <c r="CO566" s="16"/>
    </row>
    <row r="567" spans="1:93" x14ac:dyDescent="0.3">
      <c r="A567" s="11">
        <v>420</v>
      </c>
      <c r="B567" s="3" t="s">
        <v>2</v>
      </c>
      <c r="C567" s="37">
        <v>42005</v>
      </c>
      <c r="D567" s="37">
        <v>55300</v>
      </c>
      <c r="E567" s="49" t="s">
        <v>118</v>
      </c>
      <c r="F567" s="3" t="s">
        <v>2</v>
      </c>
      <c r="G567" s="3" t="s">
        <v>400</v>
      </c>
      <c r="H567" s="26">
        <v>5250</v>
      </c>
      <c r="I567" s="244">
        <v>105</v>
      </c>
      <c r="J567" s="16">
        <f t="shared" si="263"/>
        <v>5355</v>
      </c>
      <c r="K567" s="122">
        <f t="shared" si="264"/>
        <v>0.02</v>
      </c>
      <c r="M567" s="117">
        <v>5355</v>
      </c>
      <c r="N567" s="117">
        <v>5355</v>
      </c>
      <c r="P567" s="259"/>
      <c r="R567" s="26">
        <v>5355</v>
      </c>
      <c r="S567" s="26">
        <v>12007.63</v>
      </c>
      <c r="U567" s="26">
        <v>5355</v>
      </c>
      <c r="V567" s="244">
        <v>1645</v>
      </c>
      <c r="W567" s="16">
        <f t="shared" si="265"/>
        <v>7000</v>
      </c>
      <c r="X567" s="122">
        <f t="shared" si="266"/>
        <v>0.30718954248366015</v>
      </c>
      <c r="Z567" s="117">
        <v>7000</v>
      </c>
      <c r="AA567" s="117">
        <v>7000</v>
      </c>
      <c r="AC567" s="259"/>
      <c r="AE567" s="26">
        <v>7000</v>
      </c>
      <c r="AF567" s="200">
        <v>9632.7900000000009</v>
      </c>
      <c r="AH567" s="26">
        <v>7000</v>
      </c>
      <c r="AI567" s="244"/>
      <c r="AJ567" s="16">
        <f t="shared" si="267"/>
        <v>7000</v>
      </c>
      <c r="AK567" s="122">
        <f t="shared" si="268"/>
        <v>0</v>
      </c>
      <c r="AM567" s="117">
        <v>7000</v>
      </c>
      <c r="AN567" s="117">
        <v>7000</v>
      </c>
      <c r="AP567" s="259"/>
      <c r="AR567" s="26">
        <v>7000</v>
      </c>
      <c r="AS567" s="26">
        <v>5482.79</v>
      </c>
      <c r="AU567" s="26">
        <f t="shared" si="278"/>
        <v>7000</v>
      </c>
      <c r="AV567" s="244"/>
      <c r="AW567" s="16">
        <f t="shared" si="270"/>
        <v>7000</v>
      </c>
      <c r="AX567" s="122">
        <f t="shared" si="271"/>
        <v>0</v>
      </c>
      <c r="AZ567" s="117">
        <v>7000</v>
      </c>
      <c r="BA567" s="117">
        <v>5482.79</v>
      </c>
      <c r="BC567" s="259"/>
      <c r="BE567" s="26">
        <v>7000</v>
      </c>
      <c r="BF567" s="26">
        <v>6076.71</v>
      </c>
      <c r="BH567" s="26">
        <v>7000</v>
      </c>
      <c r="BI567" s="244"/>
      <c r="BJ567" s="16">
        <f t="shared" si="272"/>
        <v>7000</v>
      </c>
      <c r="BK567" s="122">
        <f t="shared" si="273"/>
        <v>0</v>
      </c>
      <c r="BM567" s="117">
        <v>7000</v>
      </c>
      <c r="BN567" s="117">
        <v>7000</v>
      </c>
      <c r="BP567" s="259"/>
      <c r="BR567" s="117">
        <v>7000</v>
      </c>
      <c r="BS567" s="26">
        <v>1275.53</v>
      </c>
      <c r="BU567" s="26">
        <v>7000</v>
      </c>
      <c r="BV567" s="244"/>
      <c r="BW567" s="576">
        <f t="shared" si="274"/>
        <v>7000</v>
      </c>
      <c r="BX567" s="577">
        <f t="shared" si="275"/>
        <v>0</v>
      </c>
      <c r="BZ567" s="166">
        <v>7000</v>
      </c>
      <c r="CA567" s="166">
        <v>7000</v>
      </c>
      <c r="CC567" s="753"/>
      <c r="CE567" s="166">
        <v>7000</v>
      </c>
      <c r="CF567" s="166"/>
      <c r="CO567" s="16"/>
    </row>
    <row r="568" spans="1:93" x14ac:dyDescent="0.3">
      <c r="A568" s="11">
        <v>420</v>
      </c>
      <c r="B568" s="3" t="s">
        <v>2</v>
      </c>
      <c r="C568" s="37">
        <v>42005</v>
      </c>
      <c r="D568" s="37">
        <v>55310</v>
      </c>
      <c r="E568" s="49" t="s">
        <v>118</v>
      </c>
      <c r="F568" s="3" t="s">
        <v>2</v>
      </c>
      <c r="G568" s="3" t="s">
        <v>402</v>
      </c>
      <c r="H568" s="26">
        <v>13260</v>
      </c>
      <c r="I568" s="244">
        <v>265</v>
      </c>
      <c r="J568" s="16">
        <f t="shared" si="263"/>
        <v>13525</v>
      </c>
      <c r="K568" s="122">
        <f t="shared" si="264"/>
        <v>1.9984917043740572E-2</v>
      </c>
      <c r="M568" s="117">
        <v>13525</v>
      </c>
      <c r="N568" s="117">
        <v>13525</v>
      </c>
      <c r="P568" s="259"/>
      <c r="R568" s="26">
        <v>13525</v>
      </c>
      <c r="S568" s="26">
        <v>13695.9</v>
      </c>
      <c r="U568" s="26">
        <v>13525</v>
      </c>
      <c r="V568" s="244">
        <v>0</v>
      </c>
      <c r="W568" s="16">
        <f t="shared" si="265"/>
        <v>13525</v>
      </c>
      <c r="X568" s="122">
        <f t="shared" si="266"/>
        <v>0</v>
      </c>
      <c r="Z568" s="117">
        <v>13525</v>
      </c>
      <c r="AA568" s="117">
        <v>13525</v>
      </c>
      <c r="AC568" s="259"/>
      <c r="AE568" s="26">
        <v>13525</v>
      </c>
      <c r="AF568" s="200">
        <v>19730.36</v>
      </c>
      <c r="AH568" s="26">
        <v>13525</v>
      </c>
      <c r="AI568" s="244"/>
      <c r="AJ568" s="16">
        <f t="shared" si="267"/>
        <v>13525</v>
      </c>
      <c r="AK568" s="122">
        <f t="shared" si="268"/>
        <v>0</v>
      </c>
      <c r="AM568" s="117">
        <v>13525</v>
      </c>
      <c r="AN568" s="117">
        <v>13525</v>
      </c>
      <c r="AP568" s="259"/>
      <c r="AR568" s="26">
        <v>13525</v>
      </c>
      <c r="AS568" s="26">
        <v>11433.54</v>
      </c>
      <c r="AU568" s="26">
        <f t="shared" si="278"/>
        <v>13525</v>
      </c>
      <c r="AV568" s="244"/>
      <c r="AW568" s="16">
        <f t="shared" si="270"/>
        <v>13525</v>
      </c>
      <c r="AX568" s="122">
        <f t="shared" si="271"/>
        <v>0</v>
      </c>
      <c r="AZ568" s="117">
        <v>13525</v>
      </c>
      <c r="BA568" s="117">
        <v>11433.54</v>
      </c>
      <c r="BC568" s="259"/>
      <c r="BE568" s="26">
        <v>13525</v>
      </c>
      <c r="BF568" s="26">
        <v>16552.71</v>
      </c>
      <c r="BH568" s="26">
        <v>13525</v>
      </c>
      <c r="BI568" s="244"/>
      <c r="BJ568" s="16">
        <f t="shared" si="272"/>
        <v>13525</v>
      </c>
      <c r="BK568" s="122">
        <f t="shared" si="273"/>
        <v>0</v>
      </c>
      <c r="BM568" s="117">
        <v>13525</v>
      </c>
      <c r="BN568" s="117">
        <v>13525</v>
      </c>
      <c r="BP568" s="259"/>
      <c r="BR568" s="117">
        <v>13525</v>
      </c>
      <c r="BS568" s="26">
        <v>8055.69</v>
      </c>
      <c r="BU568" s="26">
        <v>13525</v>
      </c>
      <c r="BV568" s="244"/>
      <c r="BW568" s="576">
        <f t="shared" si="274"/>
        <v>13525</v>
      </c>
      <c r="BX568" s="577">
        <f t="shared" si="275"/>
        <v>0</v>
      </c>
      <c r="BZ568" s="166">
        <v>13525</v>
      </c>
      <c r="CA568" s="166">
        <v>13525</v>
      </c>
      <c r="CC568" s="753"/>
      <c r="CE568" s="166">
        <v>13525</v>
      </c>
      <c r="CF568" s="166"/>
      <c r="CO568" s="16"/>
    </row>
    <row r="569" spans="1:93" x14ac:dyDescent="0.3">
      <c r="A569" s="11">
        <v>420</v>
      </c>
      <c r="B569" s="3" t="s">
        <v>2</v>
      </c>
      <c r="C569" s="37">
        <v>42005</v>
      </c>
      <c r="D569" s="37">
        <v>55320</v>
      </c>
      <c r="E569" s="49" t="s">
        <v>118</v>
      </c>
      <c r="F569" s="3" t="s">
        <v>2</v>
      </c>
      <c r="G569" s="3" t="s">
        <v>403</v>
      </c>
      <c r="H569" s="26">
        <v>1030</v>
      </c>
      <c r="I569" s="244">
        <v>170</v>
      </c>
      <c r="J569" s="16">
        <f t="shared" si="263"/>
        <v>1200</v>
      </c>
      <c r="K569" s="122">
        <f t="shared" si="264"/>
        <v>0.1650485436893204</v>
      </c>
      <c r="M569" s="117">
        <v>1200</v>
      </c>
      <c r="N569" s="117">
        <v>1200</v>
      </c>
      <c r="P569" s="259"/>
      <c r="R569" s="26">
        <v>1200</v>
      </c>
      <c r="S569" s="26">
        <v>1413.38</v>
      </c>
      <c r="U569" s="26">
        <v>1200</v>
      </c>
      <c r="V569" s="244">
        <v>0</v>
      </c>
      <c r="W569" s="16">
        <f t="shared" si="265"/>
        <v>1200</v>
      </c>
      <c r="X569" s="122">
        <f t="shared" si="266"/>
        <v>0</v>
      </c>
      <c r="Z569" s="117">
        <v>1200</v>
      </c>
      <c r="AA569" s="117">
        <v>1200</v>
      </c>
      <c r="AC569" s="259"/>
      <c r="AE569" s="26">
        <v>1200</v>
      </c>
      <c r="AF569" s="200">
        <v>3201.57</v>
      </c>
      <c r="AH569" s="26">
        <v>1200</v>
      </c>
      <c r="AI569" s="244"/>
      <c r="AJ569" s="16">
        <f t="shared" si="267"/>
        <v>1200</v>
      </c>
      <c r="AK569" s="122">
        <f t="shared" si="268"/>
        <v>0</v>
      </c>
      <c r="AM569" s="117">
        <v>1200</v>
      </c>
      <c r="AN569" s="117">
        <v>1200</v>
      </c>
      <c r="AP569" s="259"/>
      <c r="AR569" s="26">
        <v>1200</v>
      </c>
      <c r="AS569" s="26">
        <v>1589.14</v>
      </c>
      <c r="AU569" s="26">
        <f t="shared" si="278"/>
        <v>1200</v>
      </c>
      <c r="AV569" s="244"/>
      <c r="AW569" s="16">
        <f t="shared" si="270"/>
        <v>1200</v>
      </c>
      <c r="AX569" s="122">
        <f t="shared" si="271"/>
        <v>0</v>
      </c>
      <c r="AZ569" s="117">
        <v>1200</v>
      </c>
      <c r="BA569" s="117">
        <v>1589.14</v>
      </c>
      <c r="BC569" s="259"/>
      <c r="BE569" s="26">
        <v>1200</v>
      </c>
      <c r="BF569" s="26">
        <v>832.82</v>
      </c>
      <c r="BH569" s="26">
        <v>1200</v>
      </c>
      <c r="BI569" s="244"/>
      <c r="BJ569" s="16">
        <f t="shared" si="272"/>
        <v>1200</v>
      </c>
      <c r="BK569" s="122">
        <f t="shared" si="273"/>
        <v>0</v>
      </c>
      <c r="BM569" s="117">
        <v>1200</v>
      </c>
      <c r="BN569" s="117">
        <v>1200</v>
      </c>
      <c r="BP569" s="259"/>
      <c r="BR569" s="117">
        <v>1200</v>
      </c>
      <c r="BS569" s="26">
        <v>610.97</v>
      </c>
      <c r="BU569" s="26">
        <v>1200</v>
      </c>
      <c r="BV569" s="244"/>
      <c r="BW569" s="576">
        <f t="shared" si="274"/>
        <v>1200</v>
      </c>
      <c r="BX569" s="577">
        <f t="shared" si="275"/>
        <v>0</v>
      </c>
      <c r="BZ569" s="166">
        <v>1200</v>
      </c>
      <c r="CA569" s="166">
        <v>1200</v>
      </c>
      <c r="CC569" s="753"/>
      <c r="CE569" s="166">
        <v>1200</v>
      </c>
      <c r="CF569" s="166"/>
      <c r="CO569" s="16"/>
    </row>
    <row r="570" spans="1:93" x14ac:dyDescent="0.3">
      <c r="A570" s="11">
        <v>420</v>
      </c>
      <c r="B570" s="3" t="s">
        <v>2</v>
      </c>
      <c r="C570" s="37">
        <v>42005</v>
      </c>
      <c r="D570" s="37">
        <v>55810</v>
      </c>
      <c r="E570" s="49" t="s">
        <v>118</v>
      </c>
      <c r="F570" s="3" t="s">
        <v>2</v>
      </c>
      <c r="G570" s="3" t="s">
        <v>404</v>
      </c>
      <c r="H570" s="26">
        <v>150</v>
      </c>
      <c r="I570" s="244"/>
      <c r="J570" s="16">
        <f t="shared" si="263"/>
        <v>150</v>
      </c>
      <c r="K570" s="122">
        <f t="shared" si="264"/>
        <v>0</v>
      </c>
      <c r="M570" s="117">
        <v>150</v>
      </c>
      <c r="N570" s="117">
        <v>150</v>
      </c>
      <c r="P570" s="259"/>
      <c r="R570" s="26">
        <v>150</v>
      </c>
      <c r="S570" s="26">
        <v>0</v>
      </c>
      <c r="U570" s="26">
        <v>150</v>
      </c>
      <c r="V570" s="244">
        <v>0</v>
      </c>
      <c r="W570" s="16">
        <f t="shared" si="265"/>
        <v>150</v>
      </c>
      <c r="X570" s="122">
        <f t="shared" si="266"/>
        <v>0</v>
      </c>
      <c r="Z570" s="117">
        <v>150</v>
      </c>
      <c r="AA570" s="117">
        <v>150</v>
      </c>
      <c r="AC570" s="259"/>
      <c r="AE570" s="26">
        <v>150</v>
      </c>
      <c r="AF570" s="200">
        <v>79.930000000000007</v>
      </c>
      <c r="AH570" s="26">
        <v>150</v>
      </c>
      <c r="AI570" s="244"/>
      <c r="AJ570" s="16">
        <f t="shared" si="267"/>
        <v>150</v>
      </c>
      <c r="AK570" s="122">
        <f t="shared" si="268"/>
        <v>0</v>
      </c>
      <c r="AM570" s="117">
        <v>150</v>
      </c>
      <c r="AN570" s="117">
        <v>150</v>
      </c>
      <c r="AP570" s="259"/>
      <c r="AR570" s="26">
        <v>150</v>
      </c>
      <c r="AS570" s="26">
        <v>0</v>
      </c>
      <c r="AU570" s="26">
        <f t="shared" si="278"/>
        <v>150</v>
      </c>
      <c r="AV570" s="244"/>
      <c r="AW570" s="16">
        <f t="shared" si="270"/>
        <v>150</v>
      </c>
      <c r="AX570" s="122">
        <f t="shared" si="271"/>
        <v>0</v>
      </c>
      <c r="AZ570" s="117">
        <v>150</v>
      </c>
      <c r="BA570" s="117">
        <v>0</v>
      </c>
      <c r="BC570" s="259"/>
      <c r="BE570" s="26">
        <v>150</v>
      </c>
      <c r="BF570" s="26">
        <v>0</v>
      </c>
      <c r="BH570" s="26">
        <v>150</v>
      </c>
      <c r="BI570" s="244"/>
      <c r="BJ570" s="16">
        <f t="shared" si="272"/>
        <v>150</v>
      </c>
      <c r="BK570" s="122">
        <f t="shared" si="273"/>
        <v>0</v>
      </c>
      <c r="BM570" s="117">
        <v>150</v>
      </c>
      <c r="BN570" s="117">
        <v>150</v>
      </c>
      <c r="BP570" s="259"/>
      <c r="BR570" s="117">
        <v>150</v>
      </c>
      <c r="BS570" s="26">
        <v>254.2</v>
      </c>
      <c r="BU570" s="26">
        <v>150</v>
      </c>
      <c r="BV570" s="244"/>
      <c r="BW570" s="576">
        <f t="shared" si="274"/>
        <v>150</v>
      </c>
      <c r="BX570" s="577">
        <f t="shared" si="275"/>
        <v>0</v>
      </c>
      <c r="BZ570" s="166">
        <v>150</v>
      </c>
      <c r="CA570" s="166">
        <v>150</v>
      </c>
      <c r="CC570" s="753"/>
      <c r="CE570" s="166">
        <v>150</v>
      </c>
      <c r="CF570" s="166"/>
      <c r="CO570" s="16"/>
    </row>
    <row r="571" spans="1:93" x14ac:dyDescent="0.3">
      <c r="A571" s="11">
        <v>420</v>
      </c>
      <c r="B571" s="3" t="s">
        <v>2</v>
      </c>
      <c r="C571" s="37">
        <v>42005</v>
      </c>
      <c r="D571" s="37">
        <v>55820</v>
      </c>
      <c r="E571" s="49" t="s">
        <v>118</v>
      </c>
      <c r="F571" s="3" t="s">
        <v>2</v>
      </c>
      <c r="G571" s="3" t="s">
        <v>406</v>
      </c>
      <c r="H571" s="26">
        <v>500</v>
      </c>
      <c r="I571" s="244"/>
      <c r="J571" s="16">
        <f t="shared" si="263"/>
        <v>500</v>
      </c>
      <c r="K571" s="122">
        <f t="shared" si="264"/>
        <v>0</v>
      </c>
      <c r="M571" s="117">
        <v>500</v>
      </c>
      <c r="N571" s="117">
        <v>500</v>
      </c>
      <c r="P571" s="259"/>
      <c r="R571" s="26">
        <v>500</v>
      </c>
      <c r="S571" s="26">
        <v>66.97</v>
      </c>
      <c r="U571" s="26">
        <v>500</v>
      </c>
      <c r="V571" s="244">
        <v>0</v>
      </c>
      <c r="W571" s="16">
        <f t="shared" si="265"/>
        <v>500</v>
      </c>
      <c r="X571" s="122">
        <f t="shared" si="266"/>
        <v>0</v>
      </c>
      <c r="Z571" s="117">
        <v>500</v>
      </c>
      <c r="AA571" s="117">
        <v>500</v>
      </c>
      <c r="AC571" s="259"/>
      <c r="AE571" s="26">
        <v>500</v>
      </c>
      <c r="AF571" s="200">
        <v>50.96</v>
      </c>
      <c r="AH571" s="26">
        <v>500</v>
      </c>
      <c r="AI571" s="244"/>
      <c r="AJ571" s="16">
        <f t="shared" si="267"/>
        <v>500</v>
      </c>
      <c r="AK571" s="122">
        <f t="shared" si="268"/>
        <v>0</v>
      </c>
      <c r="AM571" s="117">
        <v>500</v>
      </c>
      <c r="AN571" s="117">
        <v>500</v>
      </c>
      <c r="AP571" s="259"/>
      <c r="AR571" s="26">
        <v>500</v>
      </c>
      <c r="AS571" s="26">
        <v>0</v>
      </c>
      <c r="AU571" s="26">
        <f t="shared" si="278"/>
        <v>500</v>
      </c>
      <c r="AV571" s="244"/>
      <c r="AW571" s="16">
        <f t="shared" si="270"/>
        <v>500</v>
      </c>
      <c r="AX571" s="122">
        <f t="shared" si="271"/>
        <v>0</v>
      </c>
      <c r="AZ571" s="117">
        <v>500</v>
      </c>
      <c r="BA571" s="117">
        <v>0</v>
      </c>
      <c r="BC571" s="259"/>
      <c r="BE571" s="26">
        <v>500</v>
      </c>
      <c r="BF571" s="26">
        <v>154.9</v>
      </c>
      <c r="BH571" s="26">
        <v>500</v>
      </c>
      <c r="BI571" s="244"/>
      <c r="BJ571" s="16">
        <f t="shared" si="272"/>
        <v>500</v>
      </c>
      <c r="BK571" s="122">
        <f t="shared" si="273"/>
        <v>0</v>
      </c>
      <c r="BM571" s="117">
        <v>500</v>
      </c>
      <c r="BN571" s="117">
        <v>500</v>
      </c>
      <c r="BP571" s="259"/>
      <c r="BR571" s="117">
        <v>500</v>
      </c>
      <c r="BS571" s="26"/>
      <c r="BU571" s="26">
        <v>500</v>
      </c>
      <c r="BV571" s="244"/>
      <c r="BW571" s="576">
        <f t="shared" si="274"/>
        <v>500</v>
      </c>
      <c r="BX571" s="577">
        <f t="shared" si="275"/>
        <v>0</v>
      </c>
      <c r="BZ571" s="166">
        <v>500</v>
      </c>
      <c r="CA571" s="166">
        <v>500</v>
      </c>
      <c r="CC571" s="753"/>
      <c r="CE571" s="166">
        <v>500</v>
      </c>
      <c r="CF571" s="166"/>
      <c r="CO571" s="16"/>
    </row>
    <row r="572" spans="1:93" x14ac:dyDescent="0.3">
      <c r="A572" s="11">
        <v>420</v>
      </c>
      <c r="B572" s="3" t="s">
        <v>2</v>
      </c>
      <c r="C572" s="37">
        <v>42005</v>
      </c>
      <c r="D572" s="37">
        <v>57000</v>
      </c>
      <c r="E572" s="49" t="s">
        <v>118</v>
      </c>
      <c r="F572" s="3" t="s">
        <v>2</v>
      </c>
      <c r="G572" s="3" t="s">
        <v>405</v>
      </c>
      <c r="H572" s="26">
        <v>2500</v>
      </c>
      <c r="I572" s="244">
        <v>500</v>
      </c>
      <c r="J572" s="16">
        <f t="shared" si="263"/>
        <v>3000</v>
      </c>
      <c r="K572" s="122">
        <f t="shared" si="264"/>
        <v>0.2</v>
      </c>
      <c r="M572" s="117">
        <v>3000</v>
      </c>
      <c r="N572" s="117">
        <v>3000</v>
      </c>
      <c r="P572" s="259"/>
      <c r="R572" s="26">
        <v>3000</v>
      </c>
      <c r="S572" s="26">
        <v>5500</v>
      </c>
      <c r="U572" s="26">
        <v>3000</v>
      </c>
      <c r="V572" s="244">
        <v>2500</v>
      </c>
      <c r="W572" s="16">
        <f t="shared" si="265"/>
        <v>5500</v>
      </c>
      <c r="X572" s="122">
        <f t="shared" si="266"/>
        <v>0.83333333333333337</v>
      </c>
      <c r="Z572" s="117">
        <v>5500</v>
      </c>
      <c r="AA572" s="117">
        <v>5500</v>
      </c>
      <c r="AC572" s="259"/>
      <c r="AE572" s="26">
        <v>5500</v>
      </c>
      <c r="AF572" s="200">
        <v>5200</v>
      </c>
      <c r="AH572" s="26">
        <v>5500</v>
      </c>
      <c r="AI572" s="244"/>
      <c r="AJ572" s="16">
        <f t="shared" si="267"/>
        <v>5500</v>
      </c>
      <c r="AK572" s="122">
        <f t="shared" si="268"/>
        <v>0</v>
      </c>
      <c r="AM572" s="117">
        <v>5500</v>
      </c>
      <c r="AN572" s="117">
        <v>5500</v>
      </c>
      <c r="AP572" s="259"/>
      <c r="AR572" s="26">
        <v>5500</v>
      </c>
      <c r="AS572" s="26">
        <v>5500</v>
      </c>
      <c r="AU572" s="26">
        <f t="shared" si="278"/>
        <v>5500</v>
      </c>
      <c r="AV572" s="244"/>
      <c r="AW572" s="16">
        <f t="shared" si="270"/>
        <v>5500</v>
      </c>
      <c r="AX572" s="122">
        <f t="shared" si="271"/>
        <v>0</v>
      </c>
      <c r="AZ572" s="117">
        <v>5500</v>
      </c>
      <c r="BA572" s="117">
        <v>5500</v>
      </c>
      <c r="BC572" s="259"/>
      <c r="BE572" s="26">
        <v>5500</v>
      </c>
      <c r="BF572" s="26">
        <v>6500</v>
      </c>
      <c r="BH572" s="26">
        <v>5500</v>
      </c>
      <c r="BI572" s="403">
        <v>1000</v>
      </c>
      <c r="BJ572" s="16">
        <f t="shared" si="272"/>
        <v>6500</v>
      </c>
      <c r="BK572" s="122">
        <f t="shared" si="273"/>
        <v>0.18181818181818182</v>
      </c>
      <c r="BM572" s="117">
        <v>6500</v>
      </c>
      <c r="BN572" s="117">
        <v>6500</v>
      </c>
      <c r="BP572" s="399" t="s">
        <v>1120</v>
      </c>
      <c r="BR572" s="117">
        <v>6500</v>
      </c>
      <c r="BS572" s="26"/>
      <c r="BU572" s="26">
        <v>6500</v>
      </c>
      <c r="BV572" s="244"/>
      <c r="BW572" s="576">
        <f t="shared" si="274"/>
        <v>6500</v>
      </c>
      <c r="BX572" s="577">
        <f t="shared" si="275"/>
        <v>0</v>
      </c>
      <c r="BZ572" s="166">
        <v>6500</v>
      </c>
      <c r="CA572" s="166">
        <v>6500</v>
      </c>
      <c r="CC572" s="754"/>
      <c r="CE572" s="166">
        <v>6500</v>
      </c>
      <c r="CF572" s="166"/>
      <c r="CO572" s="16"/>
    </row>
    <row r="573" spans="1:93" x14ac:dyDescent="0.3">
      <c r="A573" s="11">
        <v>420</v>
      </c>
      <c r="B573" s="3" t="s">
        <v>2</v>
      </c>
      <c r="C573" s="37">
        <v>42005</v>
      </c>
      <c r="D573" s="37">
        <v>57300</v>
      </c>
      <c r="E573" s="49" t="s">
        <v>118</v>
      </c>
      <c r="F573" s="3" t="s">
        <v>2</v>
      </c>
      <c r="G573" s="3" t="s">
        <v>407</v>
      </c>
      <c r="H573" s="26">
        <v>1000</v>
      </c>
      <c r="I573" s="244">
        <v>20</v>
      </c>
      <c r="J573" s="16">
        <f t="shared" si="263"/>
        <v>1020</v>
      </c>
      <c r="K573" s="122">
        <f t="shared" si="264"/>
        <v>0.02</v>
      </c>
      <c r="M573" s="117">
        <v>1020</v>
      </c>
      <c r="N573" s="117">
        <v>1020</v>
      </c>
      <c r="P573" s="259"/>
      <c r="R573" s="26">
        <v>1020</v>
      </c>
      <c r="S573" s="26">
        <v>1133.33</v>
      </c>
      <c r="U573" s="26">
        <v>1020</v>
      </c>
      <c r="V573" s="244">
        <v>0</v>
      </c>
      <c r="W573" s="16">
        <f t="shared" si="265"/>
        <v>1020</v>
      </c>
      <c r="X573" s="122">
        <f t="shared" si="266"/>
        <v>0</v>
      </c>
      <c r="Z573" s="117">
        <v>1020</v>
      </c>
      <c r="AA573" s="117">
        <v>1020</v>
      </c>
      <c r="AC573" s="259"/>
      <c r="AE573" s="26">
        <v>1020</v>
      </c>
      <c r="AF573" s="200">
        <v>1373.33</v>
      </c>
      <c r="AH573" s="26">
        <v>1020</v>
      </c>
      <c r="AI573" s="244"/>
      <c r="AJ573" s="16">
        <f t="shared" si="267"/>
        <v>1020</v>
      </c>
      <c r="AK573" s="122">
        <f t="shared" si="268"/>
        <v>0</v>
      </c>
      <c r="AM573" s="117">
        <v>1020</v>
      </c>
      <c r="AN573" s="117">
        <v>1020</v>
      </c>
      <c r="AP573" s="259"/>
      <c r="AR573" s="26">
        <v>1020</v>
      </c>
      <c r="AS573" s="26">
        <v>330</v>
      </c>
      <c r="AU573" s="26">
        <f t="shared" si="278"/>
        <v>1020</v>
      </c>
      <c r="AV573" s="244"/>
      <c r="AW573" s="16">
        <f t="shared" si="270"/>
        <v>1020</v>
      </c>
      <c r="AX573" s="122">
        <f t="shared" si="271"/>
        <v>0</v>
      </c>
      <c r="AZ573" s="117">
        <v>1020</v>
      </c>
      <c r="BA573" s="117">
        <v>330</v>
      </c>
      <c r="BC573" s="259"/>
      <c r="BE573" s="26">
        <v>1020</v>
      </c>
      <c r="BF573" s="26">
        <v>1529.5</v>
      </c>
      <c r="BH573" s="26">
        <v>1020</v>
      </c>
      <c r="BI573" s="244"/>
      <c r="BJ573" s="16">
        <f t="shared" si="272"/>
        <v>1020</v>
      </c>
      <c r="BK573" s="122">
        <f t="shared" si="273"/>
        <v>0</v>
      </c>
      <c r="BM573" s="117">
        <v>1020</v>
      </c>
      <c r="BN573" s="117">
        <v>1020</v>
      </c>
      <c r="BP573" s="259"/>
      <c r="BR573" s="117">
        <v>1020</v>
      </c>
      <c r="BS573" s="26">
        <v>110</v>
      </c>
      <c r="BU573" s="26">
        <v>1020</v>
      </c>
      <c r="BV573" s="244"/>
      <c r="BW573" s="576">
        <f t="shared" si="274"/>
        <v>1020</v>
      </c>
      <c r="BX573" s="577">
        <f t="shared" si="275"/>
        <v>0</v>
      </c>
      <c r="BZ573" s="166">
        <v>1020</v>
      </c>
      <c r="CA573" s="166">
        <v>1020</v>
      </c>
      <c r="CC573" s="753"/>
      <c r="CE573" s="166">
        <v>1020</v>
      </c>
      <c r="CF573" s="166"/>
      <c r="CO573" s="16"/>
    </row>
    <row r="574" spans="1:93" x14ac:dyDescent="0.3">
      <c r="A574" s="11">
        <v>420</v>
      </c>
      <c r="C574" s="37">
        <v>42005</v>
      </c>
      <c r="D574" s="37">
        <v>57800</v>
      </c>
      <c r="E574" s="49" t="s">
        <v>118</v>
      </c>
      <c r="G574" s="3" t="s">
        <v>1107</v>
      </c>
      <c r="H574" s="26"/>
      <c r="I574" s="244"/>
      <c r="M574" s="117"/>
      <c r="N574" s="117"/>
      <c r="P574" s="259"/>
      <c r="R574" s="26"/>
      <c r="S574" s="26"/>
      <c r="U574" s="26"/>
      <c r="V574" s="244"/>
      <c r="Z574" s="117"/>
      <c r="AA574" s="117"/>
      <c r="AC574" s="259"/>
      <c r="AE574" s="26"/>
      <c r="AF574" s="200"/>
      <c r="AH574" s="26"/>
      <c r="AI574" s="244"/>
      <c r="AM574" s="117"/>
      <c r="AN574" s="117"/>
      <c r="AP574" s="259"/>
      <c r="AR574" s="26"/>
      <c r="AS574" s="26">
        <v>173.45</v>
      </c>
      <c r="AU574" s="26"/>
      <c r="AV574" s="244"/>
      <c r="AZ574" s="117"/>
      <c r="BA574" s="117"/>
      <c r="BC574" s="259"/>
      <c r="BE574" s="26"/>
      <c r="BF574" s="26">
        <v>2046.53</v>
      </c>
      <c r="BH574" s="26"/>
      <c r="BI574" s="244"/>
      <c r="BM574" s="117"/>
      <c r="BN574" s="117"/>
      <c r="BP574" s="259"/>
      <c r="BR574" s="117"/>
      <c r="BS574" s="26">
        <v>399.99</v>
      </c>
      <c r="BU574" s="26"/>
      <c r="BV574" s="244"/>
      <c r="BW574" s="576">
        <f t="shared" si="274"/>
        <v>0</v>
      </c>
      <c r="BZ574" s="166">
        <v>0</v>
      </c>
      <c r="CA574" s="166">
        <v>0</v>
      </c>
      <c r="CC574" s="753"/>
      <c r="CE574" s="166">
        <v>0</v>
      </c>
      <c r="CF574" s="166"/>
      <c r="CO574" s="16"/>
    </row>
    <row r="575" spans="1:93" x14ac:dyDescent="0.3">
      <c r="A575" s="11">
        <v>420</v>
      </c>
      <c r="B575" s="3" t="s">
        <v>2</v>
      </c>
      <c r="C575" s="37">
        <v>42005</v>
      </c>
      <c r="D575" s="37">
        <v>58400</v>
      </c>
      <c r="E575" s="49" t="s">
        <v>118</v>
      </c>
      <c r="F575" s="3" t="s">
        <v>2</v>
      </c>
      <c r="G575" s="3" t="s">
        <v>933</v>
      </c>
      <c r="H575" s="26">
        <v>72615</v>
      </c>
      <c r="I575" s="244">
        <v>1452.3</v>
      </c>
      <c r="J575" s="16">
        <f t="shared" si="263"/>
        <v>74067.3</v>
      </c>
      <c r="K575" s="122">
        <f t="shared" si="264"/>
        <v>2.0000000000000039E-2</v>
      </c>
      <c r="M575" s="117">
        <v>74067</v>
      </c>
      <c r="N575" s="117">
        <v>74067</v>
      </c>
      <c r="P575" s="259"/>
      <c r="R575" s="26">
        <v>74067</v>
      </c>
      <c r="S575" s="26">
        <v>79381.95</v>
      </c>
      <c r="U575" s="26">
        <v>74067</v>
      </c>
      <c r="V575" s="244">
        <v>0</v>
      </c>
      <c r="W575" s="16">
        <f t="shared" si="265"/>
        <v>74067</v>
      </c>
      <c r="X575" s="122">
        <f t="shared" si="266"/>
        <v>0</v>
      </c>
      <c r="Z575" s="117">
        <v>74067</v>
      </c>
      <c r="AA575" s="117">
        <v>74067</v>
      </c>
      <c r="AC575" s="259"/>
      <c r="AE575" s="26">
        <v>74067</v>
      </c>
      <c r="AF575" s="200">
        <v>63010.04</v>
      </c>
      <c r="AH575" s="26">
        <v>74067</v>
      </c>
      <c r="AI575" s="244"/>
      <c r="AJ575" s="16">
        <f t="shared" si="267"/>
        <v>74067</v>
      </c>
      <c r="AK575" s="122">
        <f t="shared" si="268"/>
        <v>0</v>
      </c>
      <c r="AM575" s="117">
        <v>74067</v>
      </c>
      <c r="AN575" s="117">
        <v>74067</v>
      </c>
      <c r="AP575" s="259"/>
      <c r="AR575" s="26">
        <v>74067</v>
      </c>
      <c r="AS575" s="26">
        <v>70704.2</v>
      </c>
      <c r="AU575" s="26">
        <f>AR575</f>
        <v>74067</v>
      </c>
      <c r="AV575" s="244"/>
      <c r="AW575" s="16">
        <f t="shared" si="270"/>
        <v>74067</v>
      </c>
      <c r="AX575" s="122">
        <f t="shared" si="271"/>
        <v>0</v>
      </c>
      <c r="AZ575" s="117">
        <v>74067</v>
      </c>
      <c r="BA575" s="117">
        <v>74067</v>
      </c>
      <c r="BC575" s="259"/>
      <c r="BE575" s="26">
        <v>74067</v>
      </c>
      <c r="BF575" s="26">
        <v>47387.89</v>
      </c>
      <c r="BH575" s="26">
        <v>74067</v>
      </c>
      <c r="BI575" s="244"/>
      <c r="BJ575" s="16">
        <f t="shared" si="272"/>
        <v>74067</v>
      </c>
      <c r="BK575" s="122">
        <f t="shared" si="273"/>
        <v>0</v>
      </c>
      <c r="BM575" s="117">
        <v>74067</v>
      </c>
      <c r="BN575" s="117">
        <v>74067</v>
      </c>
      <c r="BP575" s="259"/>
      <c r="BR575" s="117">
        <v>74067</v>
      </c>
      <c r="BS575" s="26">
        <v>5864.41</v>
      </c>
      <c r="BU575" s="26">
        <v>74067</v>
      </c>
      <c r="BV575" s="244"/>
      <c r="BW575" s="576">
        <f t="shared" si="274"/>
        <v>74067</v>
      </c>
      <c r="BX575" s="577">
        <f t="shared" ref="BX575" si="279">IF(BU575=0," ",(BW575-BU575)/BU575)</f>
        <v>0</v>
      </c>
      <c r="BZ575" s="166">
        <v>74067</v>
      </c>
      <c r="CA575" s="166">
        <v>74067</v>
      </c>
      <c r="CC575" s="753"/>
      <c r="CE575" s="166">
        <v>74067</v>
      </c>
      <c r="CF575" s="166"/>
      <c r="CO575" s="16"/>
    </row>
    <row r="576" spans="1:93" s="19" customFormat="1" x14ac:dyDescent="0.3">
      <c r="A576" s="27"/>
      <c r="B576" s="8"/>
      <c r="C576" s="42"/>
      <c r="D576" s="42"/>
      <c r="E576" s="54"/>
      <c r="F576" s="8"/>
      <c r="G576" s="8" t="s">
        <v>281</v>
      </c>
      <c r="H576" s="28">
        <f>SUM(H538:H575)</f>
        <v>242885</v>
      </c>
      <c r="I576" s="28">
        <f>SUM(I538:I575)</f>
        <v>4984.6000000000004</v>
      </c>
      <c r="J576" s="28">
        <f>SUM(J538:J575)</f>
        <v>247869.59999999998</v>
      </c>
      <c r="K576" s="123">
        <f>IF(H576=0," ",(J576-H576)/H576)</f>
        <v>2.0522469481441739E-2</v>
      </c>
      <c r="L576" s="8"/>
      <c r="M576" s="28">
        <f>SUM(M538:M575)</f>
        <v>247869</v>
      </c>
      <c r="N576" s="28">
        <f>SUM(N538:N575)</f>
        <v>247869</v>
      </c>
      <c r="O576" s="8"/>
      <c r="P576" s="139">
        <f>SUM(P538:P575)</f>
        <v>0</v>
      </c>
      <c r="Q576" s="8"/>
      <c r="R576" s="28">
        <f>SUM(R538:R575)</f>
        <v>247869</v>
      </c>
      <c r="S576" s="28">
        <f>SUM(S538:S575)</f>
        <v>233686.90999999997</v>
      </c>
      <c r="U576" s="218">
        <f>SUM(U538:U575)</f>
        <v>247869</v>
      </c>
      <c r="V576" s="218">
        <f>SUM(V538:V575)</f>
        <v>-1311</v>
      </c>
      <c r="W576" s="218">
        <f>SUM(W538:W575)</f>
        <v>246558</v>
      </c>
      <c r="X576" s="219">
        <f>IF(U576=0," ",(W576-U576)/U576)</f>
        <v>-5.289084153322925E-3</v>
      </c>
      <c r="Z576" s="218">
        <f>SUM(Z538:Z575)</f>
        <v>246558</v>
      </c>
      <c r="AA576" s="218">
        <f>SUM(AA538:AA575)</f>
        <v>246558</v>
      </c>
      <c r="AC576" s="217"/>
      <c r="AE576" s="218">
        <f>SUM(AE538:AE575)</f>
        <v>246558</v>
      </c>
      <c r="AF576" s="201">
        <f>SUM(AF538:AF575)</f>
        <v>239620.36000000002</v>
      </c>
      <c r="AH576" s="218">
        <f>SUM(AH538:AH575)</f>
        <v>246558</v>
      </c>
      <c r="AI576" s="218">
        <f>SUM(AI538:AI575)</f>
        <v>0</v>
      </c>
      <c r="AJ576" s="218">
        <f>SUM(AJ538:AJ575)</f>
        <v>246558</v>
      </c>
      <c r="AK576" s="219">
        <f>IF(AH576=0," ",(AJ576-AH576)/AH576)</f>
        <v>0</v>
      </c>
      <c r="AM576" s="218">
        <f>SUM(AM538:AM575)</f>
        <v>246558</v>
      </c>
      <c r="AN576" s="218">
        <f>SUM(AN538:AN575)</f>
        <v>246558</v>
      </c>
      <c r="AP576" s="217"/>
      <c r="AR576" s="28">
        <f>SUM(AR538:AR575)</f>
        <v>246558</v>
      </c>
      <c r="AS576" s="28">
        <f>SUM(AS538:AS575)</f>
        <v>198756.88</v>
      </c>
      <c r="AU576" s="28">
        <f>SUM(AU538:AU575)</f>
        <v>246558</v>
      </c>
      <c r="AV576" s="28">
        <f>SUM(AV538:AV575)</f>
        <v>0</v>
      </c>
      <c r="AW576" s="201">
        <f>SUM(AW538:AW575)</f>
        <v>246558</v>
      </c>
      <c r="AX576" s="123">
        <f>IF(AU576=0," ",(AW576-AU576)/AU576)</f>
        <v>0</v>
      </c>
      <c r="AZ576" s="28">
        <f>SUM(AZ538:AZ575)</f>
        <v>246558</v>
      </c>
      <c r="BA576" s="28">
        <f>SUM(BA538:BA575)</f>
        <v>201946.23000000004</v>
      </c>
      <c r="BC576" s="139"/>
      <c r="BE576" s="28">
        <f>SUM(BE538:BE575)</f>
        <v>246558</v>
      </c>
      <c r="BF576" s="28">
        <f>SUM(BF538:BF575)</f>
        <v>213762.3</v>
      </c>
      <c r="BG576" s="9"/>
      <c r="BH576" s="28">
        <f>SUM(BH538:BH575)</f>
        <v>246558</v>
      </c>
      <c r="BI576" s="28">
        <f>SUM(BI538:BI575)</f>
        <v>0</v>
      </c>
      <c r="BJ576" s="201">
        <f>SUM(BJ538:BJ575)</f>
        <v>246558</v>
      </c>
      <c r="BK576" s="123">
        <f>IF(BH576=0," ",(BJ576-BH576)/BH576)</f>
        <v>0</v>
      </c>
      <c r="BM576" s="28">
        <f>SUM(BM538:BM575)</f>
        <v>246558</v>
      </c>
      <c r="BN576" s="28">
        <f>SUM(BN538:BN575)</f>
        <v>246558</v>
      </c>
      <c r="BP576" s="139"/>
      <c r="BR576" s="28">
        <f>SUM(BR538:BR575)</f>
        <v>246558</v>
      </c>
      <c r="BS576" s="28">
        <f>SUM(BS538:BS575)</f>
        <v>74882.25</v>
      </c>
      <c r="BT576" s="9"/>
      <c r="BU576" s="28">
        <f>SUM(BU538:BU575)</f>
        <v>246558</v>
      </c>
      <c r="BV576" s="532">
        <f>SUM(BV538:BV575)</f>
        <v>0</v>
      </c>
      <c r="BW576" s="604">
        <f>SUM(BW538:BW575)</f>
        <v>246558</v>
      </c>
      <c r="BX576" s="579">
        <f>IF(BU576=0," ",(BW576-BU576)/BU576)</f>
        <v>0</v>
      </c>
      <c r="BY576" s="580"/>
      <c r="BZ576" s="591">
        <f>SUM(BZ538:BZ575)</f>
        <v>246558</v>
      </c>
      <c r="CA576" s="591">
        <f>SUM(CA538:CA575)</f>
        <v>246558</v>
      </c>
      <c r="CB576" s="580"/>
      <c r="CC576" s="769"/>
      <c r="CD576" s="580"/>
      <c r="CE576" s="591">
        <f>SUM(CE538:CE575)</f>
        <v>246558</v>
      </c>
      <c r="CF576" s="591">
        <f>SUM(CF538:CF575)</f>
        <v>0</v>
      </c>
      <c r="CG576" s="9"/>
      <c r="CH576" s="815"/>
      <c r="CI576" s="815"/>
      <c r="CJ576" s="887"/>
      <c r="CO576" s="16"/>
    </row>
    <row r="577" spans="1:93" s="1" customFormat="1" ht="5.25" customHeight="1" x14ac:dyDescent="0.3">
      <c r="A577" s="12"/>
      <c r="C577" s="35"/>
      <c r="D577" s="35"/>
      <c r="E577" s="47"/>
      <c r="H577" s="26"/>
      <c r="I577" s="26"/>
      <c r="J577" s="26"/>
      <c r="K577" s="125"/>
      <c r="M577" s="26"/>
      <c r="N577" s="26"/>
      <c r="P577" s="138"/>
      <c r="R577" s="26"/>
      <c r="S577" s="26"/>
      <c r="U577" s="26"/>
      <c r="V577" s="26"/>
      <c r="W577" s="26"/>
      <c r="X577" s="125"/>
      <c r="Z577" s="26"/>
      <c r="AA577" s="26"/>
      <c r="AC577" s="138"/>
      <c r="AE577" s="26"/>
      <c r="AF577" s="200"/>
      <c r="AH577" s="26"/>
      <c r="AI577" s="26"/>
      <c r="AJ577" s="26"/>
      <c r="AK577" s="125"/>
      <c r="AM577" s="26"/>
      <c r="AN577" s="26"/>
      <c r="AP577" s="138"/>
      <c r="AR577" s="26"/>
      <c r="AS577" s="26"/>
      <c r="AU577" s="26"/>
      <c r="AV577" s="26"/>
      <c r="AW577" s="26"/>
      <c r="AX577" s="125"/>
      <c r="AZ577" s="26"/>
      <c r="BA577" s="26"/>
      <c r="BC577" s="138"/>
      <c r="BE577" s="26"/>
      <c r="BF577" s="26"/>
      <c r="BH577" s="26"/>
      <c r="BI577" s="26"/>
      <c r="BJ577" s="26"/>
      <c r="BK577" s="125"/>
      <c r="BM577" s="26"/>
      <c r="BN577" s="26"/>
      <c r="BP577" s="138"/>
      <c r="BR577" s="26"/>
      <c r="BS577" s="26"/>
      <c r="BU577" s="26"/>
      <c r="BV577" s="26"/>
      <c r="BW577" s="589"/>
      <c r="BX577" s="592"/>
      <c r="BY577" s="573"/>
      <c r="BZ577" s="589"/>
      <c r="CA577" s="589"/>
      <c r="CB577" s="573"/>
      <c r="CC577" s="768"/>
      <c r="CD577" s="573"/>
      <c r="CE577" s="589"/>
      <c r="CF577" s="589"/>
      <c r="CH577" s="812"/>
      <c r="CI577" s="812"/>
      <c r="CJ577" s="886"/>
      <c r="CO577" s="16"/>
    </row>
    <row r="578" spans="1:93" x14ac:dyDescent="0.3">
      <c r="A578" s="11">
        <v>420</v>
      </c>
      <c r="B578" s="3" t="s">
        <v>2</v>
      </c>
      <c r="C578" s="37">
        <v>42008</v>
      </c>
      <c r="D578" s="37">
        <v>52731</v>
      </c>
      <c r="E578" s="49" t="s">
        <v>488</v>
      </c>
      <c r="F578" s="3" t="s">
        <v>2</v>
      </c>
      <c r="G578" s="3" t="s">
        <v>412</v>
      </c>
      <c r="H578" s="26">
        <v>29527</v>
      </c>
      <c r="I578" s="244"/>
      <c r="J578" s="16">
        <f>H578+I578</f>
        <v>29527</v>
      </c>
      <c r="K578" s="122">
        <f>IF(H578=0," ",(J578-H578)/H578)</f>
        <v>0</v>
      </c>
      <c r="M578" s="117">
        <v>29527</v>
      </c>
      <c r="N578" s="117">
        <v>29527</v>
      </c>
      <c r="P578" s="259"/>
      <c r="R578" s="26">
        <v>29527</v>
      </c>
      <c r="S578" s="26">
        <v>29256.23</v>
      </c>
      <c r="U578" s="26">
        <v>29527</v>
      </c>
      <c r="V578" s="244">
        <v>-29527</v>
      </c>
      <c r="W578" s="16">
        <f>U578+V578</f>
        <v>0</v>
      </c>
      <c r="X578" s="122">
        <f>IF(U578=0," ",(W578-U578)/U578)</f>
        <v>-1</v>
      </c>
      <c r="Z578" s="117"/>
      <c r="AA578" s="117"/>
      <c r="AC578" s="259" t="s">
        <v>677</v>
      </c>
      <c r="AE578" s="26"/>
      <c r="AF578" s="200"/>
      <c r="AH578" s="26"/>
      <c r="AI578" s="244"/>
      <c r="AJ578" s="16">
        <f>AH578+AI578</f>
        <v>0</v>
      </c>
      <c r="AK578" s="122" t="str">
        <f>IF(AH578=0," ",(AJ578-AH578)/AH578)</f>
        <v xml:space="preserve"> </v>
      </c>
      <c r="AM578" s="117"/>
      <c r="AN578" s="117"/>
      <c r="AP578" s="259"/>
      <c r="AR578" s="26"/>
      <c r="AS578" s="26"/>
      <c r="AU578" s="26"/>
      <c r="AV578" s="244"/>
      <c r="AW578" s="16">
        <f>AU578+AV578</f>
        <v>0</v>
      </c>
      <c r="AX578" s="122" t="str">
        <f>IF(AU578=0," ",(AW578-AU578)/AU578)</f>
        <v xml:space="preserve"> </v>
      </c>
      <c r="AZ578" s="117"/>
      <c r="BA578" s="117"/>
      <c r="BC578" s="259"/>
      <c r="BE578" s="26"/>
      <c r="BF578" s="26"/>
      <c r="BH578" s="26"/>
      <c r="BI578" s="244"/>
      <c r="BJ578" s="16">
        <f>BH578+BI578</f>
        <v>0</v>
      </c>
      <c r="BK578" s="122" t="str">
        <f>IF(BH578=0," ",(BJ578-BH578)/BH578)</f>
        <v xml:space="preserve"> </v>
      </c>
      <c r="BM578" s="117"/>
      <c r="BN578" s="117"/>
      <c r="BP578" s="259"/>
      <c r="BR578" s="117"/>
      <c r="BS578" s="26"/>
      <c r="BU578" s="26"/>
      <c r="BV578" s="244"/>
      <c r="BW578" s="576">
        <f>BU578+BV578</f>
        <v>0</v>
      </c>
      <c r="BX578" s="577" t="str">
        <f>IF(BU578=0," ",(BW578-BU578)/BU578)</f>
        <v xml:space="preserve"> </v>
      </c>
      <c r="BZ578" s="166">
        <v>0</v>
      </c>
      <c r="CA578" s="166">
        <v>0</v>
      </c>
      <c r="CC578" s="753"/>
      <c r="CE578" s="166">
        <v>0</v>
      </c>
      <c r="CF578" s="166"/>
      <c r="CO578" s="16"/>
    </row>
    <row r="579" spans="1:93" x14ac:dyDescent="0.3">
      <c r="A579" s="11">
        <v>420</v>
      </c>
      <c r="B579" s="3" t="s">
        <v>2</v>
      </c>
      <c r="C579" s="37">
        <v>42008</v>
      </c>
      <c r="D579" s="37">
        <v>58700</v>
      </c>
      <c r="E579" s="49" t="s">
        <v>488</v>
      </c>
      <c r="F579" s="3" t="s">
        <v>2</v>
      </c>
      <c r="G579" s="3" t="s">
        <v>1108</v>
      </c>
      <c r="H579" s="26"/>
      <c r="I579" s="244"/>
      <c r="J579" s="16">
        <f>H579+I579</f>
        <v>0</v>
      </c>
      <c r="K579" s="122" t="str">
        <f>IF(H579=0," ",(J579-H579)/H579)</f>
        <v xml:space="preserve"> </v>
      </c>
      <c r="M579" s="117"/>
      <c r="N579" s="117"/>
      <c r="P579" s="259"/>
      <c r="R579" s="26"/>
      <c r="S579" s="26"/>
      <c r="U579" s="26"/>
      <c r="V579" s="244"/>
      <c r="W579" s="16">
        <f>U579+V579</f>
        <v>0</v>
      </c>
      <c r="X579" s="122" t="str">
        <f>IF(U579=0," ",(W579-U579)/U579)</f>
        <v xml:space="preserve"> </v>
      </c>
      <c r="Z579" s="117"/>
      <c r="AA579" s="117"/>
      <c r="AC579" s="259"/>
      <c r="AE579" s="26"/>
      <c r="AF579" s="200"/>
      <c r="AH579" s="26"/>
      <c r="AI579" s="244"/>
      <c r="AJ579" s="16">
        <f>AH579+AI579</f>
        <v>0</v>
      </c>
      <c r="AK579" s="122" t="str">
        <f>IF(AH579=0," ",(AJ579-AH579)/AH579)</f>
        <v xml:space="preserve"> </v>
      </c>
      <c r="AM579" s="117"/>
      <c r="AN579" s="117"/>
      <c r="AP579" s="259"/>
      <c r="AR579" s="26"/>
      <c r="AS579" s="26">
        <v>34997.620000000003</v>
      </c>
      <c r="AU579" s="26"/>
      <c r="AV579" s="244"/>
      <c r="AW579" s="16">
        <f>AU579+AV579</f>
        <v>0</v>
      </c>
      <c r="AX579" s="122" t="str">
        <f>IF(AU579=0," ",(AW579-AU579)/AU579)</f>
        <v xml:space="preserve"> </v>
      </c>
      <c r="AZ579" s="117"/>
      <c r="BA579" s="117"/>
      <c r="BC579" s="259"/>
      <c r="BE579" s="26"/>
      <c r="BF579" s="26"/>
      <c r="BH579" s="26"/>
      <c r="BI579" s="244"/>
      <c r="BJ579" s="16">
        <f>BH579+BI579</f>
        <v>0</v>
      </c>
      <c r="BK579" s="122" t="str">
        <f>IF(BH579=0," ",(BJ579-BH579)/BH579)</f>
        <v xml:space="preserve"> </v>
      </c>
      <c r="BM579" s="117"/>
      <c r="BN579" s="117"/>
      <c r="BP579" s="259"/>
      <c r="BR579" s="117"/>
      <c r="BS579" s="26"/>
      <c r="BU579" s="26"/>
      <c r="BV579" s="244"/>
      <c r="BW579" s="576">
        <f>BU579+BV579</f>
        <v>0</v>
      </c>
      <c r="BX579" s="577" t="str">
        <f>IF(BU579=0," ",(BW579-BU579)/BU579)</f>
        <v xml:space="preserve"> </v>
      </c>
      <c r="BZ579" s="166">
        <v>0</v>
      </c>
      <c r="CA579" s="166">
        <v>0</v>
      </c>
      <c r="CC579" s="753"/>
      <c r="CE579" s="166">
        <v>0</v>
      </c>
      <c r="CF579" s="166"/>
      <c r="CO579" s="16"/>
    </row>
    <row r="580" spans="1:93" s="19" customFormat="1" x14ac:dyDescent="0.3">
      <c r="A580" s="27"/>
      <c r="B580" s="8"/>
      <c r="C580" s="42"/>
      <c r="D580" s="42"/>
      <c r="E580" s="54"/>
      <c r="F580" s="8"/>
      <c r="G580" s="8" t="s">
        <v>487</v>
      </c>
      <c r="H580" s="28">
        <f>SUM(H578:H579)</f>
        <v>29527</v>
      </c>
      <c r="I580" s="28">
        <f>SUM(I578:I579)</f>
        <v>0</v>
      </c>
      <c r="J580" s="28">
        <f>SUM(J578:J579)</f>
        <v>29527</v>
      </c>
      <c r="K580" s="123">
        <f>IF(H580=0," ",(J580-H580)/H580)</f>
        <v>0</v>
      </c>
      <c r="L580" s="8"/>
      <c r="M580" s="28">
        <f>SUM(M578:M579)</f>
        <v>29527</v>
      </c>
      <c r="N580" s="28">
        <f>SUM(N578:N579)</f>
        <v>29527</v>
      </c>
      <c r="O580" s="8"/>
      <c r="P580" s="139">
        <f>SUM(P579)</f>
        <v>0</v>
      </c>
      <c r="Q580" s="8"/>
      <c r="R580" s="28">
        <f>SUM(R578:R579)</f>
        <v>29527</v>
      </c>
      <c r="S580" s="28">
        <f>SUM(S578:S579)</f>
        <v>29256.23</v>
      </c>
      <c r="U580" s="218">
        <f>SUM(U578:U579)</f>
        <v>29527</v>
      </c>
      <c r="V580" s="218">
        <f>SUM(V578:V579)</f>
        <v>-29527</v>
      </c>
      <c r="W580" s="218">
        <f>SUM(W578:W579)</f>
        <v>0</v>
      </c>
      <c r="X580" s="123">
        <f>IF(U580=0," ",(W580-U580)/U580)</f>
        <v>-1</v>
      </c>
      <c r="Z580" s="218">
        <f>SUM(Z578:Z579)</f>
        <v>0</v>
      </c>
      <c r="AA580" s="218">
        <f>SUM(AA578:AA579)</f>
        <v>0</v>
      </c>
      <c r="AC580" s="217"/>
      <c r="AE580" s="218">
        <f>SUM(AE578:AE579)</f>
        <v>0</v>
      </c>
      <c r="AF580" s="201">
        <f>SUM(AF578:AF579)</f>
        <v>0</v>
      </c>
      <c r="AH580" s="218">
        <f>SUM(AH578:AH579)</f>
        <v>0</v>
      </c>
      <c r="AI580" s="218">
        <f>SUM(AI578:AI579)</f>
        <v>0</v>
      </c>
      <c r="AJ580" s="218">
        <f>SUM(AJ578:AJ579)</f>
        <v>0</v>
      </c>
      <c r="AK580" s="123" t="str">
        <f>IF(AH580=0," ",(AJ580-AH580)/AH580)</f>
        <v xml:space="preserve"> </v>
      </c>
      <c r="AM580" s="218">
        <f>SUM(AM578:AM579)</f>
        <v>0</v>
      </c>
      <c r="AN580" s="218">
        <f>SUM(AN578:AN579)</f>
        <v>0</v>
      </c>
      <c r="AP580" s="217"/>
      <c r="AR580" s="28">
        <f>SUM(AR578:AR579)</f>
        <v>0</v>
      </c>
      <c r="AS580" s="28">
        <f>SUM(AS578:AS579)</f>
        <v>34997.620000000003</v>
      </c>
      <c r="AU580" s="28">
        <f>SUM(AU578:AU579)</f>
        <v>0</v>
      </c>
      <c r="AV580" s="28">
        <f>SUM(AV578:AV579)</f>
        <v>0</v>
      </c>
      <c r="AW580" s="28">
        <f>SUM(AW578:AW579)</f>
        <v>0</v>
      </c>
      <c r="AX580" s="123" t="str">
        <f>IF(AU580=0," ",(AW580-AU580)/AU580)</f>
        <v xml:space="preserve"> </v>
      </c>
      <c r="AZ580" s="28">
        <f>SUM(AZ578:AZ579)</f>
        <v>0</v>
      </c>
      <c r="BA580" s="28">
        <f>SUM(BA578:BA579)</f>
        <v>0</v>
      </c>
      <c r="BC580" s="139"/>
      <c r="BE580" s="28">
        <f>SUM(BE578:BE579)</f>
        <v>0</v>
      </c>
      <c r="BF580" s="28">
        <f>SUM(BF578:BF579)</f>
        <v>0</v>
      </c>
      <c r="BG580" s="9"/>
      <c r="BH580" s="28">
        <f>SUM(BH578:BH579)</f>
        <v>0</v>
      </c>
      <c r="BI580" s="28">
        <f>SUM(BI578:BI579)</f>
        <v>0</v>
      </c>
      <c r="BJ580" s="28">
        <f>SUM(BJ578:BJ579)</f>
        <v>0</v>
      </c>
      <c r="BK580" s="123" t="str">
        <f>IF(BH580=0," ",(BJ580-BH580)/BH580)</f>
        <v xml:space="preserve"> </v>
      </c>
      <c r="BM580" s="28">
        <f>SUM(BM578:BM579)</f>
        <v>0</v>
      </c>
      <c r="BN580" s="28">
        <f>SUM(BN578:BN579)</f>
        <v>0</v>
      </c>
      <c r="BP580" s="139"/>
      <c r="BR580" s="28">
        <f>SUM(BR578:BR579)</f>
        <v>0</v>
      </c>
      <c r="BS580" s="28">
        <f>SUM(BS578:BS579)</f>
        <v>0</v>
      </c>
      <c r="BT580" s="9"/>
      <c r="BU580" s="28">
        <f>SUM(BU578:BU579)</f>
        <v>0</v>
      </c>
      <c r="BV580" s="532">
        <f>SUM(BV578:BV579)</f>
        <v>0</v>
      </c>
      <c r="BW580" s="591">
        <f>SUM(BW578:BW579)</f>
        <v>0</v>
      </c>
      <c r="BX580" s="579" t="str">
        <f>IF(BU580=0," ",(BW580-BU580)/BU580)</f>
        <v xml:space="preserve"> </v>
      </c>
      <c r="BY580" s="580"/>
      <c r="BZ580" s="591">
        <f>SUM(BZ578:BZ579)</f>
        <v>0</v>
      </c>
      <c r="CA580" s="591">
        <f>SUM(CA578:CA579)</f>
        <v>0</v>
      </c>
      <c r="CB580" s="580"/>
      <c r="CC580" s="769"/>
      <c r="CD580" s="580"/>
      <c r="CE580" s="591">
        <f>SUM(CE578:CE579)</f>
        <v>0</v>
      </c>
      <c r="CF580" s="591">
        <f>SUM(CF578:CF579)</f>
        <v>0</v>
      </c>
      <c r="CG580" s="9"/>
      <c r="CH580" s="815"/>
      <c r="CI580" s="815"/>
      <c r="CJ580" s="887"/>
      <c r="CO580" s="16"/>
    </row>
    <row r="581" spans="1:93" ht="6.75" customHeight="1" x14ac:dyDescent="0.3">
      <c r="AS581" s="16"/>
      <c r="CO581" s="16"/>
    </row>
    <row r="582" spans="1:93" s="1" customFormat="1" x14ac:dyDescent="0.3">
      <c r="A582" s="20"/>
      <c r="B582" s="5"/>
      <c r="C582" s="39"/>
      <c r="D582" s="39"/>
      <c r="E582" s="51"/>
      <c r="F582" s="5"/>
      <c r="G582" s="21" t="s">
        <v>184</v>
      </c>
      <c r="H582" s="22">
        <f>H536+H576+H580</f>
        <v>672456</v>
      </c>
      <c r="I582" s="22">
        <f>I536+I576+I580</f>
        <v>11017.6</v>
      </c>
      <c r="J582" s="22">
        <f>J536+J576+J580</f>
        <v>683473.6</v>
      </c>
      <c r="K582" s="124">
        <f>IF(H582=0," ",(J582-H582)/H582)</f>
        <v>1.6384120299320664E-2</v>
      </c>
      <c r="M582" s="22">
        <f>M536+M576+M580</f>
        <v>683473</v>
      </c>
      <c r="N582" s="22">
        <f>N536+N576+N580</f>
        <v>683473</v>
      </c>
      <c r="P582" s="136">
        <f>P536+P576+P580</f>
        <v>0</v>
      </c>
      <c r="R582" s="22">
        <f>R536+R576+R580</f>
        <v>683473</v>
      </c>
      <c r="S582" s="22">
        <f>S536+S576+S580</f>
        <v>672142.8</v>
      </c>
      <c r="U582" s="22">
        <f>U536+U576+U580</f>
        <v>683473</v>
      </c>
      <c r="V582" s="22">
        <f>V536+V576+V580</f>
        <v>-25186</v>
      </c>
      <c r="W582" s="22">
        <f>W536+W576+W580</f>
        <v>658287</v>
      </c>
      <c r="X582" s="124">
        <f>IF(U582=0," ",(W582-U582)/U582)</f>
        <v>-3.6850029189155975E-2</v>
      </c>
      <c r="Z582" s="22">
        <f>Z536+Z576+Z580</f>
        <v>658287</v>
      </c>
      <c r="AA582" s="22">
        <f>AA536+AA576+AA580</f>
        <v>658287</v>
      </c>
      <c r="AC582" s="136"/>
      <c r="AE582" s="22">
        <f>AE536+AE576+AE580</f>
        <v>658287</v>
      </c>
      <c r="AF582" s="199">
        <f>AF536+AF576+AF580</f>
        <v>658704.91</v>
      </c>
      <c r="AH582" s="22">
        <v>658287</v>
      </c>
      <c r="AI582" s="22">
        <f>AI536+AI576+AI580</f>
        <v>29240</v>
      </c>
      <c r="AJ582" s="22">
        <f>AJ536+AJ576+AJ580</f>
        <v>687527</v>
      </c>
      <c r="AK582" s="124">
        <f>IF(AH582=0," ",(AJ582-AH582)/AH582)</f>
        <v>4.4418316023254294E-2</v>
      </c>
      <c r="AM582" s="22">
        <f>AM536+AM576+AM580</f>
        <v>687527</v>
      </c>
      <c r="AN582" s="22">
        <f>AN536+AN576+AN580</f>
        <v>687527</v>
      </c>
      <c r="AP582" s="136"/>
      <c r="AR582" s="22">
        <f>AR536+AR576+AR580</f>
        <v>687527</v>
      </c>
      <c r="AS582" s="22">
        <f>AS536+AS576+AS580</f>
        <v>634314.2699999999</v>
      </c>
      <c r="AU582" s="22">
        <f>AU536+AU576+AU580</f>
        <v>687527</v>
      </c>
      <c r="AV582" s="22">
        <f>AV536+AV576+AV580</f>
        <v>-15303</v>
      </c>
      <c r="AW582" s="22">
        <f>AW536+AW576+AW580</f>
        <v>672224</v>
      </c>
      <c r="AX582" s="124">
        <f>IF(AU582=0," ",(AW582-AU582)/AU582)</f>
        <v>-2.2258034957172591E-2</v>
      </c>
      <c r="AZ582" s="22">
        <f>AZ536+AZ576+AZ580</f>
        <v>671767</v>
      </c>
      <c r="BA582" s="22">
        <f>BA536+BA576+BA580</f>
        <v>602506</v>
      </c>
      <c r="BC582" s="136"/>
      <c r="BE582" s="22">
        <f>BE536+BE576+BE580</f>
        <v>669949</v>
      </c>
      <c r="BF582" s="22">
        <f>BF536+BF576+BF580</f>
        <v>605024.94999999995</v>
      </c>
      <c r="BH582" s="22">
        <f>BH536+BH576+BH580</f>
        <v>669949</v>
      </c>
      <c r="BI582" s="22">
        <f>BI536+BI576+BI580</f>
        <v>-25503</v>
      </c>
      <c r="BJ582" s="22">
        <f>BJ536+BJ576+BJ580</f>
        <v>644446</v>
      </c>
      <c r="BK582" s="124">
        <f>IF(BH582=0," ",(BJ582-BH582)/BH582)</f>
        <v>-3.806707674763303E-2</v>
      </c>
      <c r="BM582" s="22">
        <f>BM536+BM576+BM580</f>
        <v>644446</v>
      </c>
      <c r="BN582" s="22">
        <f>BN536+BN576+BN580</f>
        <v>644446</v>
      </c>
      <c r="BP582" s="136"/>
      <c r="BR582" s="22">
        <f>BR536+BR576+BR580</f>
        <v>644446</v>
      </c>
      <c r="BS582" s="22">
        <f>BS536+BS576+BS580</f>
        <v>265273.68</v>
      </c>
      <c r="BU582" s="22">
        <f>BU536+BU576+BU580</f>
        <v>644446</v>
      </c>
      <c r="BV582" s="531">
        <f>BV536+BV576+BV580</f>
        <v>13858</v>
      </c>
      <c r="BW582" s="581">
        <f>BW536+BW576+BW580</f>
        <v>658304</v>
      </c>
      <c r="BX582" s="582">
        <f>IF(BU582=0," ",(BW582-BU582)/BU582)</f>
        <v>2.1503741197866074E-2</v>
      </c>
      <c r="BY582" s="573"/>
      <c r="BZ582" s="581">
        <f>BZ536+BZ576+BZ580</f>
        <v>658304</v>
      </c>
      <c r="CA582" s="581">
        <f>CA536+CA576+CA580</f>
        <v>658304</v>
      </c>
      <c r="CB582" s="573"/>
      <c r="CC582" s="764"/>
      <c r="CD582" s="573"/>
      <c r="CE582" s="581">
        <f>CE536+CE576+CE580</f>
        <v>658304</v>
      </c>
      <c r="CF582" s="581">
        <f>CF536+CF576+CF580</f>
        <v>0</v>
      </c>
      <c r="CH582" s="812"/>
      <c r="CI582" s="812"/>
      <c r="CJ582" s="886"/>
      <c r="CO582" s="16"/>
    </row>
    <row r="583" spans="1:93" ht="14.1" customHeight="1" x14ac:dyDescent="0.3">
      <c r="AS583" s="16"/>
      <c r="CO583" s="16"/>
    </row>
    <row r="584" spans="1:93" s="1" customFormat="1" ht="15.6" x14ac:dyDescent="0.3">
      <c r="A584" s="14" t="s">
        <v>185</v>
      </c>
      <c r="B584" s="2"/>
      <c r="C584" s="36"/>
      <c r="D584" s="36"/>
      <c r="E584" s="48"/>
      <c r="F584" s="2"/>
      <c r="G584" s="2"/>
      <c r="H584" s="15"/>
      <c r="I584" s="15"/>
      <c r="J584" s="15"/>
      <c r="K584" s="121"/>
      <c r="M584" s="15"/>
      <c r="N584" s="15"/>
      <c r="P584" s="133"/>
      <c r="R584" s="15"/>
      <c r="S584" s="15"/>
      <c r="U584" s="15"/>
      <c r="V584" s="15"/>
      <c r="W584" s="15"/>
      <c r="X584" s="121"/>
      <c r="Z584" s="15"/>
      <c r="AA584" s="15"/>
      <c r="AC584" s="133"/>
      <c r="AE584" s="15"/>
      <c r="AF584" s="196"/>
      <c r="AH584" s="15"/>
      <c r="AI584" s="15"/>
      <c r="AJ584" s="15"/>
      <c r="AK584" s="121"/>
      <c r="AM584" s="15"/>
      <c r="AN584" s="15"/>
      <c r="AP584" s="133"/>
      <c r="AR584" s="15"/>
      <c r="AS584" s="15"/>
      <c r="AU584" s="15"/>
      <c r="AV584" s="15"/>
      <c r="AW584" s="15"/>
      <c r="AX584" s="121"/>
      <c r="AZ584" s="15"/>
      <c r="BA584" s="15"/>
      <c r="BC584" s="133"/>
      <c r="BE584" s="15"/>
      <c r="BF584" s="15"/>
      <c r="BH584" s="15"/>
      <c r="BI584" s="15"/>
      <c r="BJ584" s="15"/>
      <c r="BK584" s="121"/>
      <c r="BM584" s="15"/>
      <c r="BN584" s="15"/>
      <c r="BP584" s="234"/>
      <c r="BR584" s="15"/>
      <c r="BS584" s="15"/>
      <c r="BU584" s="15"/>
      <c r="BV584" s="529"/>
      <c r="BW584" s="574"/>
      <c r="BX584" s="575"/>
      <c r="BY584" s="573"/>
      <c r="BZ584" s="574"/>
      <c r="CA584" s="574"/>
      <c r="CB584" s="573"/>
      <c r="CC584" s="761"/>
      <c r="CD584" s="573"/>
      <c r="CE584" s="574"/>
      <c r="CF584" s="574"/>
      <c r="CH584" s="812"/>
      <c r="CI584" s="812"/>
      <c r="CJ584" s="886"/>
      <c r="CO584" s="16"/>
    </row>
    <row r="585" spans="1:93" x14ac:dyDescent="0.3">
      <c r="A585" s="11">
        <v>423</v>
      </c>
      <c r="B585" s="3" t="s">
        <v>2</v>
      </c>
      <c r="C585" s="37">
        <v>42302</v>
      </c>
      <c r="D585" s="37">
        <v>51310</v>
      </c>
      <c r="E585" s="49" t="s">
        <v>11</v>
      </c>
      <c r="F585" s="3" t="s">
        <v>2</v>
      </c>
      <c r="G585" s="3" t="s">
        <v>413</v>
      </c>
      <c r="H585" s="26">
        <v>23628</v>
      </c>
      <c r="I585" s="244"/>
      <c r="J585" s="16">
        <f>H585+I585</f>
        <v>23628</v>
      </c>
      <c r="K585" s="122">
        <f>IF(H585=0," ",(J585-H585)/H585)</f>
        <v>0</v>
      </c>
      <c r="M585" s="117">
        <v>23628</v>
      </c>
      <c r="N585" s="117">
        <v>23628</v>
      </c>
      <c r="P585" s="259"/>
      <c r="R585" s="26">
        <v>23628</v>
      </c>
      <c r="S585" s="26">
        <v>27701.62</v>
      </c>
      <c r="U585" s="26">
        <v>23628</v>
      </c>
      <c r="V585" s="244">
        <v>0</v>
      </c>
      <c r="W585" s="16">
        <f>U585+V585</f>
        <v>23628</v>
      </c>
      <c r="X585" s="122">
        <f>IF(U585=0," ",(W585-U585)/U585)</f>
        <v>0</v>
      </c>
      <c r="Z585" s="117">
        <v>23628</v>
      </c>
      <c r="AA585" s="117">
        <v>23628</v>
      </c>
      <c r="AC585" s="259"/>
      <c r="AE585" s="26">
        <v>23628</v>
      </c>
      <c r="AF585" s="200">
        <v>21630.78</v>
      </c>
      <c r="AH585" s="26">
        <v>23628</v>
      </c>
      <c r="AI585" s="244">
        <v>1182</v>
      </c>
      <c r="AJ585" s="16">
        <f>AH585+AI585</f>
        <v>24810</v>
      </c>
      <c r="AK585" s="122">
        <f>IF(AH585=0," ",(AJ585-AH585)/AH585)</f>
        <v>5.0025393600812595E-2</v>
      </c>
      <c r="AM585" s="117">
        <v>24810</v>
      </c>
      <c r="AN585" s="117">
        <v>24810</v>
      </c>
      <c r="AP585" s="266"/>
      <c r="AR585" s="26">
        <v>24810</v>
      </c>
      <c r="AS585" s="26">
        <v>17838.13</v>
      </c>
      <c r="AU585" s="26">
        <f>AR585</f>
        <v>24810</v>
      </c>
      <c r="AV585" s="244"/>
      <c r="AW585" s="16">
        <f>AU585+AV585</f>
        <v>24810</v>
      </c>
      <c r="AX585" s="122">
        <f>IF(AU585=0," ",(AW585-AU585)/AU585)</f>
        <v>0</v>
      </c>
      <c r="AZ585" s="117">
        <v>24810</v>
      </c>
      <c r="BA585" s="117">
        <v>24810</v>
      </c>
      <c r="BC585" s="266" t="s">
        <v>1035</v>
      </c>
      <c r="BE585" s="26">
        <v>24810</v>
      </c>
      <c r="BF585" s="26">
        <v>26121.88</v>
      </c>
      <c r="BH585" s="26">
        <v>24810</v>
      </c>
      <c r="BI585" s="244"/>
      <c r="BJ585" s="16">
        <f>BH585+BI585</f>
        <v>24810</v>
      </c>
      <c r="BK585" s="122">
        <f>IF(BH585=0," ",(BJ585-BH585)/BH585)</f>
        <v>0</v>
      </c>
      <c r="BM585" s="117">
        <v>24810</v>
      </c>
      <c r="BN585" s="117">
        <v>24810</v>
      </c>
      <c r="BP585" s="259"/>
      <c r="BR585" s="117">
        <v>24810</v>
      </c>
      <c r="BS585" s="26">
        <v>913.54</v>
      </c>
      <c r="BU585" s="26">
        <v>24810</v>
      </c>
      <c r="BV585" s="244">
        <v>6500</v>
      </c>
      <c r="BW585" s="576">
        <f>BU585+BV585</f>
        <v>31310</v>
      </c>
      <c r="BX585" s="577">
        <f>IF(BU585=0," ",(BW585-BU585)/BU585)</f>
        <v>0.26199113260781942</v>
      </c>
      <c r="BZ585" s="166">
        <v>31310</v>
      </c>
      <c r="CA585" s="166">
        <v>31310</v>
      </c>
      <c r="CC585" s="755" t="s">
        <v>1372</v>
      </c>
      <c r="CE585" s="166">
        <v>31310</v>
      </c>
      <c r="CF585" s="166"/>
      <c r="CO585" s="16"/>
    </row>
    <row r="586" spans="1:93" x14ac:dyDescent="0.3">
      <c r="A586" s="11">
        <v>423</v>
      </c>
      <c r="B586" s="3" t="s">
        <v>2</v>
      </c>
      <c r="C586" s="37">
        <v>42302</v>
      </c>
      <c r="D586" s="37">
        <v>51330</v>
      </c>
      <c r="E586" s="49" t="s">
        <v>11</v>
      </c>
      <c r="F586" s="3" t="s">
        <v>2</v>
      </c>
      <c r="G586" s="3" t="s">
        <v>414</v>
      </c>
      <c r="H586" s="26">
        <v>7200</v>
      </c>
      <c r="I586" s="244"/>
      <c r="J586" s="16">
        <f>H586+I586</f>
        <v>7200</v>
      </c>
      <c r="K586" s="122">
        <f>IF(H586=0," ",(J586-H586)/H586)</f>
        <v>0</v>
      </c>
      <c r="M586" s="117">
        <v>7200</v>
      </c>
      <c r="N586" s="117">
        <v>7200</v>
      </c>
      <c r="P586" s="259"/>
      <c r="R586" s="26">
        <v>7200</v>
      </c>
      <c r="S586" s="26">
        <v>13744.6</v>
      </c>
      <c r="U586" s="26">
        <v>7200</v>
      </c>
      <c r="V586" s="244">
        <v>0</v>
      </c>
      <c r="W586" s="16">
        <f>U586+V586</f>
        <v>7200</v>
      </c>
      <c r="X586" s="122">
        <f>IF(U586=0," ",(W586-U586)/U586)</f>
        <v>0</v>
      </c>
      <c r="Z586" s="117">
        <v>7200</v>
      </c>
      <c r="AA586" s="117">
        <v>7200</v>
      </c>
      <c r="AC586" s="259"/>
      <c r="AE586" s="26">
        <v>7200</v>
      </c>
      <c r="AF586" s="200">
        <v>9447.2199999999993</v>
      </c>
      <c r="AH586" s="26">
        <v>7200</v>
      </c>
      <c r="AI586" s="244">
        <v>360</v>
      </c>
      <c r="AJ586" s="16">
        <f>AH586+AI586</f>
        <v>7560</v>
      </c>
      <c r="AK586" s="122">
        <f>IF(AH586=0," ",(AJ586-AH586)/AH586)</f>
        <v>0.05</v>
      </c>
      <c r="AM586" s="117">
        <v>7560</v>
      </c>
      <c r="AN586" s="117">
        <v>7560</v>
      </c>
      <c r="AP586" s="266"/>
      <c r="AR586" s="26">
        <v>7560</v>
      </c>
      <c r="AS586" s="26">
        <v>7682.77</v>
      </c>
      <c r="AU586" s="26">
        <f>AR586</f>
        <v>7560</v>
      </c>
      <c r="AV586" s="244"/>
      <c r="AW586" s="16">
        <f>AU586+AV586</f>
        <v>7560</v>
      </c>
      <c r="AX586" s="122">
        <f>IF(AU586=0," ",(AW586-AU586)/AU586)</f>
        <v>0</v>
      </c>
      <c r="AZ586" s="117">
        <v>7560</v>
      </c>
      <c r="BA586" s="117">
        <v>7560</v>
      </c>
      <c r="BC586" s="266"/>
      <c r="BE586" s="26">
        <v>7560</v>
      </c>
      <c r="BF586" s="26">
        <v>5918.57</v>
      </c>
      <c r="BH586" s="26">
        <v>7560</v>
      </c>
      <c r="BI586" s="244"/>
      <c r="BJ586" s="16">
        <f>BH586+BI586</f>
        <v>7560</v>
      </c>
      <c r="BK586" s="122">
        <f>IF(BH586=0," ",(BJ586-BH586)/BH586)</f>
        <v>0</v>
      </c>
      <c r="BM586" s="117">
        <v>7560</v>
      </c>
      <c r="BN586" s="117">
        <v>7560</v>
      </c>
      <c r="BP586" s="259"/>
      <c r="BR586" s="117">
        <v>7560</v>
      </c>
      <c r="BS586" s="26"/>
      <c r="BU586" s="26">
        <v>7560</v>
      </c>
      <c r="BV586" s="244"/>
      <c r="BW586" s="576">
        <f>BU586+BV586</f>
        <v>7560</v>
      </c>
      <c r="BX586" s="577">
        <f>IF(BU586=0," ",(BW586-BU586)/BU586)</f>
        <v>0</v>
      </c>
      <c r="BZ586" s="166">
        <v>7560</v>
      </c>
      <c r="CA586" s="166">
        <v>7560</v>
      </c>
      <c r="CC586" s="753"/>
      <c r="CE586" s="166">
        <v>7560</v>
      </c>
      <c r="CF586" s="166"/>
      <c r="CO586" s="16"/>
    </row>
    <row r="587" spans="1:93" x14ac:dyDescent="0.3">
      <c r="A587" s="11">
        <v>423</v>
      </c>
      <c r="B587" s="3" t="s">
        <v>2</v>
      </c>
      <c r="C587" s="37">
        <v>42302</v>
      </c>
      <c r="D587" s="37">
        <v>51970</v>
      </c>
      <c r="E587" s="49" t="s">
        <v>118</v>
      </c>
      <c r="F587" s="3" t="s">
        <v>2</v>
      </c>
      <c r="G587" s="3" t="s">
        <v>415</v>
      </c>
      <c r="H587" s="26">
        <v>1500</v>
      </c>
      <c r="I587" s="244"/>
      <c r="J587" s="16">
        <f>H587+I587</f>
        <v>1500</v>
      </c>
      <c r="K587" s="122">
        <f>IF(H587=0," ",(J587-H587)/H587)</f>
        <v>0</v>
      </c>
      <c r="M587" s="117">
        <v>1500</v>
      </c>
      <c r="N587" s="117">
        <v>1500</v>
      </c>
      <c r="P587" s="259"/>
      <c r="R587" s="26">
        <v>1500</v>
      </c>
      <c r="S587" s="26">
        <v>1510</v>
      </c>
      <c r="U587" s="26">
        <v>1500</v>
      </c>
      <c r="V587" s="244">
        <v>0</v>
      </c>
      <c r="W587" s="16">
        <f>U587+V587</f>
        <v>1500</v>
      </c>
      <c r="X587" s="122">
        <f>IF(U587=0," ",(W587-U587)/U587)</f>
        <v>0</v>
      </c>
      <c r="Z587" s="117">
        <v>1500</v>
      </c>
      <c r="AA587" s="117">
        <v>1500</v>
      </c>
      <c r="AC587" s="259"/>
      <c r="AE587" s="26">
        <v>1500</v>
      </c>
      <c r="AF587" s="200">
        <v>1250</v>
      </c>
      <c r="AH587" s="26">
        <v>1500</v>
      </c>
      <c r="AI587" s="244"/>
      <c r="AJ587" s="16">
        <f>AH587+AI587</f>
        <v>1500</v>
      </c>
      <c r="AK587" s="122">
        <f>IF(AH587=0," ",(AJ587-AH587)/AH587)</f>
        <v>0</v>
      </c>
      <c r="AM587" s="117">
        <v>1500</v>
      </c>
      <c r="AN587" s="117">
        <v>1500</v>
      </c>
      <c r="AP587" s="259"/>
      <c r="AR587" s="26">
        <v>1500</v>
      </c>
      <c r="AS587" s="26">
        <v>880</v>
      </c>
      <c r="AU587" s="26">
        <f>AR587</f>
        <v>1500</v>
      </c>
      <c r="AV587" s="244"/>
      <c r="AW587" s="16">
        <f>AU587+AV587</f>
        <v>1500</v>
      </c>
      <c r="AX587" s="122">
        <f>IF(AU587=0," ",(AW587-AU587)/AU587)</f>
        <v>0</v>
      </c>
      <c r="AZ587" s="117">
        <v>1500</v>
      </c>
      <c r="BA587" s="117">
        <v>1500</v>
      </c>
      <c r="BC587" s="259"/>
      <c r="BE587" s="26">
        <v>1500</v>
      </c>
      <c r="BF587" s="26">
        <v>1830</v>
      </c>
      <c r="BH587" s="26">
        <v>1500</v>
      </c>
      <c r="BI587" s="244"/>
      <c r="BJ587" s="16">
        <f>BH587+BI587</f>
        <v>1500</v>
      </c>
      <c r="BK587" s="122">
        <f>IF(BH587=0," ",(BJ587-BH587)/BH587)</f>
        <v>0</v>
      </c>
      <c r="BM587" s="117">
        <v>1500</v>
      </c>
      <c r="BN587" s="117">
        <v>1500</v>
      </c>
      <c r="BP587" s="259"/>
      <c r="BR587" s="117">
        <v>1500</v>
      </c>
      <c r="BS587" s="26"/>
      <c r="BU587" s="26">
        <v>1500</v>
      </c>
      <c r="BV587" s="244">
        <v>-1500</v>
      </c>
      <c r="BW587" s="576">
        <f>BU587+BV587</f>
        <v>0</v>
      </c>
      <c r="BX587" s="577">
        <f>IF(BU587=0," ",(BW587-BU587)/BU587)</f>
        <v>-1</v>
      </c>
      <c r="BZ587" s="166">
        <v>0</v>
      </c>
      <c r="CA587" s="166">
        <v>0</v>
      </c>
      <c r="CC587" s="755" t="s">
        <v>1577</v>
      </c>
      <c r="CE587" s="166">
        <v>0</v>
      </c>
      <c r="CF587" s="166"/>
      <c r="CO587" s="16"/>
    </row>
    <row r="588" spans="1:93" s="19" customFormat="1" x14ac:dyDescent="0.3">
      <c r="A588" s="27"/>
      <c r="B588" s="8"/>
      <c r="C588" s="42"/>
      <c r="D588" s="42"/>
      <c r="E588" s="54"/>
      <c r="F588" s="8"/>
      <c r="G588" s="57" t="s">
        <v>186</v>
      </c>
      <c r="H588" s="28">
        <f>SUM(H585:H587)</f>
        <v>32328</v>
      </c>
      <c r="I588" s="28">
        <f>SUM(I585:I587)</f>
        <v>0</v>
      </c>
      <c r="J588" s="28">
        <f>SUM(J585:J587)</f>
        <v>32328</v>
      </c>
      <c r="K588" s="123">
        <f>IF(H588=0," ",(J588-H588)/H588)</f>
        <v>0</v>
      </c>
      <c r="M588" s="28">
        <f>SUM(M585:M587)</f>
        <v>32328</v>
      </c>
      <c r="N588" s="28">
        <f>SUM(N585:N587)</f>
        <v>32328</v>
      </c>
      <c r="P588" s="139">
        <f>SUM(P585:P586)</f>
        <v>0</v>
      </c>
      <c r="R588" s="28">
        <f>SUM(R585:R587)</f>
        <v>32328</v>
      </c>
      <c r="S588" s="28">
        <f>SUM(S585:S587)</f>
        <v>42956.22</v>
      </c>
      <c r="U588" s="28">
        <f>SUM(U585:U587)</f>
        <v>32328</v>
      </c>
      <c r="V588" s="28">
        <f>SUM(V585:V587)</f>
        <v>0</v>
      </c>
      <c r="W588" s="28">
        <f>SUM(W585:W587)</f>
        <v>32328</v>
      </c>
      <c r="X588" s="123">
        <f>IF(U588=0," ",(W588-U588)/U588)</f>
        <v>0</v>
      </c>
      <c r="Z588" s="28">
        <f>SUM(Z585:Z587)</f>
        <v>32328</v>
      </c>
      <c r="AA588" s="28">
        <f>SUM(AA585:AA587)</f>
        <v>32328</v>
      </c>
      <c r="AC588" s="139"/>
      <c r="AE588" s="28">
        <f>SUM(AE585:AE587)</f>
        <v>32328</v>
      </c>
      <c r="AF588" s="28">
        <f>SUM(AF585:AF587)</f>
        <v>32328</v>
      </c>
      <c r="AH588" s="28">
        <f>SUM(AH585:AH587)</f>
        <v>32328</v>
      </c>
      <c r="AI588" s="28">
        <f>SUM(AI585:AI587)</f>
        <v>1542</v>
      </c>
      <c r="AJ588" s="28">
        <f>SUM(AJ585:AJ587)</f>
        <v>33870</v>
      </c>
      <c r="AK588" s="123">
        <f>IF(AH588=0," ",(AJ588-AH588)/AH588)</f>
        <v>4.7698589458054934E-2</v>
      </c>
      <c r="AM588" s="28">
        <f>SUM(AM585:AM587)</f>
        <v>33870</v>
      </c>
      <c r="AN588" s="28">
        <f>SUM(AN585:AN587)</f>
        <v>33870</v>
      </c>
      <c r="AP588" s="139"/>
      <c r="AR588" s="28">
        <f>SUM(AR585:AR587)</f>
        <v>33870</v>
      </c>
      <c r="AS588" s="28">
        <f>SUM(AS585:AS587)</f>
        <v>26400.9</v>
      </c>
      <c r="AU588" s="28">
        <f>SUM(AU585:AU587)</f>
        <v>33870</v>
      </c>
      <c r="AV588" s="28">
        <f>SUM(AV585:AV587)</f>
        <v>0</v>
      </c>
      <c r="AW588" s="28">
        <f>SUM(AW585:AW587)</f>
        <v>33870</v>
      </c>
      <c r="AX588" s="123">
        <f>IF(AU588=0," ",(AW588-AU588)/AU588)</f>
        <v>0</v>
      </c>
      <c r="AZ588" s="28">
        <f>SUM(AZ585:AZ587)</f>
        <v>33870</v>
      </c>
      <c r="BA588" s="28">
        <f>SUM(BA585:BA587)</f>
        <v>33870</v>
      </c>
      <c r="BC588" s="139"/>
      <c r="BE588" s="28">
        <f>SUM(BE585:BE587)</f>
        <v>33870</v>
      </c>
      <c r="BF588" s="28">
        <f>SUM(BF585:BF587)</f>
        <v>33870.449999999997</v>
      </c>
      <c r="BG588" s="9"/>
      <c r="BH588" s="28">
        <f>SUM(BH585:BH587)</f>
        <v>33870</v>
      </c>
      <c r="BI588" s="28">
        <f>SUM(BI585:BI587)</f>
        <v>0</v>
      </c>
      <c r="BJ588" s="28">
        <f>SUM(BJ585:BJ587)</f>
        <v>33870</v>
      </c>
      <c r="BK588" s="123">
        <f>IF(BH588=0," ",(BJ588-BH588)/BH588)</f>
        <v>0</v>
      </c>
      <c r="BM588" s="28">
        <f>SUM(BM585:BM587)</f>
        <v>33870</v>
      </c>
      <c r="BN588" s="28">
        <f>SUM(BN585:BN587)</f>
        <v>33870</v>
      </c>
      <c r="BP588" s="139"/>
      <c r="BR588" s="28">
        <f>SUM(BR585:BR587)</f>
        <v>33870</v>
      </c>
      <c r="BS588" s="28">
        <f>SUM(BS585:BS587)</f>
        <v>913.54</v>
      </c>
      <c r="BT588" s="9"/>
      <c r="BU588" s="28">
        <f>SUM(BU585:BU587)</f>
        <v>33870</v>
      </c>
      <c r="BV588" s="532">
        <f>SUM(BV585:BV587)</f>
        <v>5000</v>
      </c>
      <c r="BW588" s="591">
        <f>SUM(BW585:BW587)</f>
        <v>38870</v>
      </c>
      <c r="BX588" s="579">
        <f>IF(BU588=0," ",(BW588-BU588)/BU588)</f>
        <v>0.14762326542663123</v>
      </c>
      <c r="BY588" s="580"/>
      <c r="BZ588" s="591">
        <f>SUM(BZ585:BZ587)</f>
        <v>38870</v>
      </c>
      <c r="CA588" s="591">
        <f>SUM(CA585:CA587)</f>
        <v>38870</v>
      </c>
      <c r="CB588" s="580"/>
      <c r="CC588" s="769"/>
      <c r="CD588" s="580"/>
      <c r="CE588" s="591">
        <f>SUM(CE585:CE587)</f>
        <v>38870</v>
      </c>
      <c r="CF588" s="591">
        <f>SUM(CF585:CF587)</f>
        <v>0</v>
      </c>
      <c r="CG588" s="9"/>
      <c r="CH588" s="815"/>
      <c r="CI588" s="815"/>
      <c r="CJ588" s="887"/>
      <c r="CO588" s="16"/>
    </row>
    <row r="589" spans="1:93" x14ac:dyDescent="0.3">
      <c r="H589" s="26"/>
      <c r="AS589" s="16"/>
      <c r="CO589" s="16"/>
    </row>
    <row r="590" spans="1:93" x14ac:dyDescent="0.3">
      <c r="A590" s="11">
        <v>423</v>
      </c>
      <c r="B590" s="3" t="s">
        <v>2</v>
      </c>
      <c r="C590" s="37">
        <v>42305</v>
      </c>
      <c r="D590" s="37">
        <v>52450</v>
      </c>
      <c r="E590" s="49" t="s">
        <v>118</v>
      </c>
      <c r="F590" s="3" t="s">
        <v>2</v>
      </c>
      <c r="G590" s="3" t="s">
        <v>416</v>
      </c>
      <c r="H590" s="26">
        <v>0</v>
      </c>
      <c r="I590" s="244"/>
      <c r="J590" s="16">
        <f t="shared" ref="J590:J596" si="280">H590+I590</f>
        <v>0</v>
      </c>
      <c r="K590" s="122" t="str">
        <f t="shared" ref="K590:K596" si="281">IF(H590=0," ",(J590-H590)/H590)</f>
        <v xml:space="preserve"> </v>
      </c>
      <c r="M590" s="117">
        <v>0</v>
      </c>
      <c r="N590" s="117">
        <v>0</v>
      </c>
      <c r="P590" s="259"/>
      <c r="R590" s="26">
        <v>0</v>
      </c>
      <c r="S590" s="26">
        <v>2470.5</v>
      </c>
      <c r="U590" s="26">
        <v>0</v>
      </c>
      <c r="V590" s="244">
        <v>0</v>
      </c>
      <c r="W590" s="16">
        <f t="shared" ref="W590:W596" si="282">U590+V590</f>
        <v>0</v>
      </c>
      <c r="X590" s="122" t="str">
        <f t="shared" ref="X590:X596" si="283">IF(U590=0," ",(W590-U590)/U590)</f>
        <v xml:space="preserve"> </v>
      </c>
      <c r="Z590" s="117">
        <v>0</v>
      </c>
      <c r="AA590" s="117">
        <v>0</v>
      </c>
      <c r="AC590" s="259"/>
      <c r="AE590" s="26">
        <v>0</v>
      </c>
      <c r="AF590" s="200">
        <v>7998.81</v>
      </c>
      <c r="AH590" s="26">
        <v>0</v>
      </c>
      <c r="AI590" s="244"/>
      <c r="AJ590" s="16">
        <f t="shared" ref="AJ590:AJ596" si="284">AH590+AI590</f>
        <v>0</v>
      </c>
      <c r="AK590" s="122" t="str">
        <f t="shared" ref="AK590:AK596" si="285">IF(AH590=0," ",(AJ590-AH590)/AH590)</f>
        <v xml:space="preserve"> </v>
      </c>
      <c r="AM590" s="117">
        <v>0</v>
      </c>
      <c r="AN590" s="117">
        <v>0</v>
      </c>
      <c r="AP590" s="259"/>
      <c r="AR590" s="26">
        <v>0</v>
      </c>
      <c r="AS590" s="26">
        <v>0</v>
      </c>
      <c r="AU590" s="26">
        <f t="shared" ref="AU590:AU596" si="286">AR590</f>
        <v>0</v>
      </c>
      <c r="AV590" s="244"/>
      <c r="AW590" s="16">
        <f t="shared" ref="AW590:AW596" si="287">AU590+AV590</f>
        <v>0</v>
      </c>
      <c r="AX590" s="122" t="str">
        <f t="shared" ref="AX590:AX596" si="288">IF(AU590=0," ",(AW590-AU590)/AU590)</f>
        <v xml:space="preserve"> </v>
      </c>
      <c r="AZ590" s="117">
        <v>0</v>
      </c>
      <c r="BA590" s="117">
        <v>0</v>
      </c>
      <c r="BC590" s="259"/>
      <c r="BE590" s="26">
        <v>0</v>
      </c>
      <c r="BF590" s="26">
        <v>2190.35</v>
      </c>
      <c r="BH590" s="26">
        <v>0</v>
      </c>
      <c r="BI590" s="244"/>
      <c r="BJ590" s="16">
        <f t="shared" ref="BJ590:BJ596" si="289">BH590+BI590</f>
        <v>0</v>
      </c>
      <c r="BK590" s="122" t="str">
        <f t="shared" ref="BK590:BK596" si="290">IF(BH590=0," ",(BJ590-BH590)/BH590)</f>
        <v xml:space="preserve"> </v>
      </c>
      <c r="BM590" s="117">
        <v>0</v>
      </c>
      <c r="BN590" s="117">
        <v>0</v>
      </c>
      <c r="BP590" s="259"/>
      <c r="BR590" s="117">
        <v>0</v>
      </c>
      <c r="BS590" s="26">
        <v>3036.19</v>
      </c>
      <c r="BU590" s="26">
        <v>0</v>
      </c>
      <c r="BV590" s="244"/>
      <c r="BW590" s="576">
        <f t="shared" ref="BW590:BW596" si="291">BU590+BV590</f>
        <v>0</v>
      </c>
      <c r="BX590" s="577" t="str">
        <f t="shared" ref="BX590:BX596" si="292">IF(BU590=0," ",(BW590-BU590)/BU590)</f>
        <v xml:space="preserve"> </v>
      </c>
      <c r="BZ590" s="166">
        <v>0</v>
      </c>
      <c r="CA590" s="166">
        <v>0</v>
      </c>
      <c r="CC590" s="753"/>
      <c r="CE590" s="166">
        <v>0</v>
      </c>
      <c r="CF590" s="166"/>
      <c r="CO590" s="16"/>
    </row>
    <row r="591" spans="1:93" x14ac:dyDescent="0.3">
      <c r="A591" s="11">
        <v>423</v>
      </c>
      <c r="B591" s="3" t="s">
        <v>2</v>
      </c>
      <c r="C591" s="37">
        <v>42305</v>
      </c>
      <c r="D591" s="37">
        <v>52730</v>
      </c>
      <c r="E591" s="49" t="s">
        <v>118</v>
      </c>
      <c r="F591" s="3" t="s">
        <v>2</v>
      </c>
      <c r="G591" s="3" t="s">
        <v>417</v>
      </c>
      <c r="H591" s="26">
        <v>58810</v>
      </c>
      <c r="I591" s="244">
        <v>1190</v>
      </c>
      <c r="J591" s="16">
        <f t="shared" si="280"/>
        <v>60000</v>
      </c>
      <c r="K591" s="122">
        <f t="shared" si="281"/>
        <v>2.0234653970413196E-2</v>
      </c>
      <c r="M591" s="117">
        <v>60000</v>
      </c>
      <c r="N591" s="117">
        <v>60000</v>
      </c>
      <c r="P591" s="259"/>
      <c r="R591" s="26">
        <v>60000</v>
      </c>
      <c r="S591" s="26">
        <v>93322.5</v>
      </c>
      <c r="U591" s="26">
        <v>60000</v>
      </c>
      <c r="V591" s="244">
        <v>0</v>
      </c>
      <c r="W591" s="16">
        <f t="shared" si="282"/>
        <v>60000</v>
      </c>
      <c r="X591" s="122">
        <f t="shared" si="283"/>
        <v>0</v>
      </c>
      <c r="Z591" s="117">
        <v>60000</v>
      </c>
      <c r="AA591" s="117">
        <v>60000</v>
      </c>
      <c r="AC591" s="259"/>
      <c r="AE591" s="26">
        <v>60000</v>
      </c>
      <c r="AF591" s="200">
        <v>66346.25</v>
      </c>
      <c r="AH591" s="26">
        <v>60000</v>
      </c>
      <c r="AI591" s="244"/>
      <c r="AJ591" s="16">
        <f t="shared" si="284"/>
        <v>60000</v>
      </c>
      <c r="AK591" s="122">
        <f t="shared" si="285"/>
        <v>0</v>
      </c>
      <c r="AM591" s="117">
        <v>60000</v>
      </c>
      <c r="AN591" s="117">
        <v>60000</v>
      </c>
      <c r="AP591" s="259"/>
      <c r="AR591" s="26">
        <v>60000</v>
      </c>
      <c r="AS591" s="26">
        <v>36606.75</v>
      </c>
      <c r="AU591" s="26">
        <f t="shared" si="286"/>
        <v>60000</v>
      </c>
      <c r="AV591" s="244"/>
      <c r="AW591" s="16">
        <f t="shared" si="287"/>
        <v>60000</v>
      </c>
      <c r="AX591" s="122">
        <f t="shared" si="288"/>
        <v>0</v>
      </c>
      <c r="AZ591" s="117">
        <v>60000</v>
      </c>
      <c r="BA591" s="117">
        <v>60000</v>
      </c>
      <c r="BC591" s="259"/>
      <c r="BE591" s="26">
        <v>60000</v>
      </c>
      <c r="BF591" s="26">
        <v>58754.12</v>
      </c>
      <c r="BH591" s="26">
        <v>60000</v>
      </c>
      <c r="BI591" s="244"/>
      <c r="BJ591" s="16">
        <f t="shared" si="289"/>
        <v>60000</v>
      </c>
      <c r="BK591" s="122">
        <f t="shared" si="290"/>
        <v>0</v>
      </c>
      <c r="BM591" s="117">
        <v>60000</v>
      </c>
      <c r="BN591" s="117">
        <v>60000</v>
      </c>
      <c r="BP591" s="259"/>
      <c r="BR591" s="117">
        <v>60000</v>
      </c>
      <c r="BS591" s="26"/>
      <c r="BU591" s="26">
        <v>60000</v>
      </c>
      <c r="BV591" s="244"/>
      <c r="BW591" s="576">
        <f t="shared" si="291"/>
        <v>60000</v>
      </c>
      <c r="BX591" s="577">
        <f t="shared" si="292"/>
        <v>0</v>
      </c>
      <c r="BZ591" s="166">
        <v>60000</v>
      </c>
      <c r="CA591" s="166">
        <v>60000</v>
      </c>
      <c r="CC591" s="753"/>
      <c r="CE591" s="166">
        <v>60000</v>
      </c>
      <c r="CF591" s="166"/>
      <c r="CO591" s="16"/>
    </row>
    <row r="592" spans="1:93" x14ac:dyDescent="0.3">
      <c r="A592" s="11">
        <v>423</v>
      </c>
      <c r="B592" s="3" t="s">
        <v>2</v>
      </c>
      <c r="C592" s="37">
        <v>42305</v>
      </c>
      <c r="D592" s="37">
        <v>53800</v>
      </c>
      <c r="E592" s="49" t="s">
        <v>118</v>
      </c>
      <c r="F592" s="3" t="s">
        <v>2</v>
      </c>
      <c r="G592" s="3" t="s">
        <v>418</v>
      </c>
      <c r="H592" s="26">
        <v>1395</v>
      </c>
      <c r="I592" s="244"/>
      <c r="J592" s="16">
        <f t="shared" si="280"/>
        <v>1395</v>
      </c>
      <c r="K592" s="122">
        <f t="shared" si="281"/>
        <v>0</v>
      </c>
      <c r="M592" s="117">
        <v>1395</v>
      </c>
      <c r="N592" s="117">
        <v>1395</v>
      </c>
      <c r="P592" s="259"/>
      <c r="R592" s="26">
        <v>1395</v>
      </c>
      <c r="S592" s="26">
        <v>1596</v>
      </c>
      <c r="U592" s="26">
        <v>1395</v>
      </c>
      <c r="V592" s="244">
        <v>0</v>
      </c>
      <c r="W592" s="16">
        <f t="shared" si="282"/>
        <v>1395</v>
      </c>
      <c r="X592" s="122">
        <f t="shared" si="283"/>
        <v>0</v>
      </c>
      <c r="Z592" s="117">
        <v>1395</v>
      </c>
      <c r="AA592" s="117">
        <v>1395</v>
      </c>
      <c r="AC592" s="259"/>
      <c r="AE592" s="26">
        <v>1395</v>
      </c>
      <c r="AF592" s="200">
        <v>149.13999999999999</v>
      </c>
      <c r="AH592" s="26">
        <v>1395</v>
      </c>
      <c r="AI592" s="244"/>
      <c r="AJ592" s="16">
        <f t="shared" si="284"/>
        <v>1395</v>
      </c>
      <c r="AK592" s="122">
        <f t="shared" si="285"/>
        <v>0</v>
      </c>
      <c r="AM592" s="117">
        <v>1395</v>
      </c>
      <c r="AN592" s="117">
        <v>1395</v>
      </c>
      <c r="AP592" s="259"/>
      <c r="AR592" s="26">
        <v>1395</v>
      </c>
      <c r="AS592" s="26">
        <v>1995</v>
      </c>
      <c r="AU592" s="26">
        <f t="shared" si="286"/>
        <v>1395</v>
      </c>
      <c r="AV592" s="244"/>
      <c r="AW592" s="16">
        <f t="shared" si="287"/>
        <v>1395</v>
      </c>
      <c r="AX592" s="122">
        <f t="shared" si="288"/>
        <v>0</v>
      </c>
      <c r="AZ592" s="117">
        <v>1395</v>
      </c>
      <c r="BA592" s="117">
        <v>1395</v>
      </c>
      <c r="BC592" s="259"/>
      <c r="BE592" s="26">
        <v>1395</v>
      </c>
      <c r="BF592" s="26">
        <v>1750</v>
      </c>
      <c r="BH592" s="26">
        <v>1395</v>
      </c>
      <c r="BI592" s="244"/>
      <c r="BJ592" s="16">
        <f t="shared" si="289"/>
        <v>1395</v>
      </c>
      <c r="BK592" s="122">
        <f t="shared" si="290"/>
        <v>0</v>
      </c>
      <c r="BM592" s="117">
        <v>1395</v>
      </c>
      <c r="BN592" s="117">
        <v>1395</v>
      </c>
      <c r="BP592" s="259"/>
      <c r="BR592" s="117">
        <v>1395</v>
      </c>
      <c r="BS592" s="26">
        <v>1750</v>
      </c>
      <c r="BU592" s="26">
        <v>1395</v>
      </c>
      <c r="BV592" s="244"/>
      <c r="BW592" s="576">
        <f t="shared" si="291"/>
        <v>1395</v>
      </c>
      <c r="BX592" s="577">
        <f t="shared" si="292"/>
        <v>0</v>
      </c>
      <c r="BZ592" s="166">
        <v>1395</v>
      </c>
      <c r="CA592" s="166">
        <v>1395</v>
      </c>
      <c r="CC592" s="753"/>
      <c r="CE592" s="166">
        <v>1395</v>
      </c>
      <c r="CF592" s="166"/>
      <c r="CO592" s="16"/>
    </row>
    <row r="593" spans="1:93" x14ac:dyDescent="0.3">
      <c r="A593" s="11">
        <v>423</v>
      </c>
      <c r="B593" s="3" t="s">
        <v>2</v>
      </c>
      <c r="C593" s="37">
        <v>42305</v>
      </c>
      <c r="D593" s="37">
        <v>54100</v>
      </c>
      <c r="E593" s="49" t="s">
        <v>118</v>
      </c>
      <c r="F593" s="3" t="s">
        <v>2</v>
      </c>
      <c r="G593" s="3" t="s">
        <v>419</v>
      </c>
      <c r="H593" s="26">
        <v>25850</v>
      </c>
      <c r="I593" s="244"/>
      <c r="J593" s="16">
        <f t="shared" si="280"/>
        <v>25850</v>
      </c>
      <c r="K593" s="122">
        <f t="shared" si="281"/>
        <v>0</v>
      </c>
      <c r="M593" s="117">
        <v>25850</v>
      </c>
      <c r="N593" s="117">
        <v>25850</v>
      </c>
      <c r="P593" s="259"/>
      <c r="R593" s="26">
        <v>25850</v>
      </c>
      <c r="S593" s="26">
        <v>29509.31</v>
      </c>
      <c r="U593" s="26">
        <v>25850</v>
      </c>
      <c r="V593" s="244">
        <v>0</v>
      </c>
      <c r="W593" s="16">
        <f t="shared" si="282"/>
        <v>25850</v>
      </c>
      <c r="X593" s="122">
        <f t="shared" si="283"/>
        <v>0</v>
      </c>
      <c r="Z593" s="117">
        <v>25850</v>
      </c>
      <c r="AA593" s="117">
        <v>25850</v>
      </c>
      <c r="AC593" s="259"/>
      <c r="AE593" s="26">
        <v>25850</v>
      </c>
      <c r="AF593" s="200">
        <v>16585.91</v>
      </c>
      <c r="AH593" s="26">
        <v>25850</v>
      </c>
      <c r="AI593" s="244"/>
      <c r="AJ593" s="16">
        <f t="shared" si="284"/>
        <v>25850</v>
      </c>
      <c r="AK593" s="122">
        <f t="shared" si="285"/>
        <v>0</v>
      </c>
      <c r="AM593" s="117">
        <v>25850</v>
      </c>
      <c r="AN593" s="117">
        <v>25850</v>
      </c>
      <c r="AP593" s="259"/>
      <c r="AR593" s="26">
        <v>25850</v>
      </c>
      <c r="AS593" s="26">
        <v>22189.27</v>
      </c>
      <c r="AU593" s="26">
        <f t="shared" si="286"/>
        <v>25850</v>
      </c>
      <c r="AV593" s="244"/>
      <c r="AW593" s="16">
        <f t="shared" si="287"/>
        <v>25850</v>
      </c>
      <c r="AX593" s="122">
        <f t="shared" si="288"/>
        <v>0</v>
      </c>
      <c r="AZ593" s="117">
        <v>25850</v>
      </c>
      <c r="BA593" s="117">
        <v>25850</v>
      </c>
      <c r="BC593" s="259"/>
      <c r="BE593" s="26">
        <v>25850</v>
      </c>
      <c r="BF593" s="26">
        <v>18097.650000000001</v>
      </c>
      <c r="BH593" s="26">
        <v>25850</v>
      </c>
      <c r="BI593" s="244"/>
      <c r="BJ593" s="16">
        <f t="shared" si="289"/>
        <v>25850</v>
      </c>
      <c r="BK593" s="122">
        <f t="shared" si="290"/>
        <v>0</v>
      </c>
      <c r="BM593" s="117">
        <v>25850</v>
      </c>
      <c r="BN593" s="117">
        <v>25850</v>
      </c>
      <c r="BP593" s="259"/>
      <c r="BR593" s="117">
        <v>25850</v>
      </c>
      <c r="BS593" s="26">
        <v>7216.69</v>
      </c>
      <c r="BU593" s="26">
        <v>25850</v>
      </c>
      <c r="BV593" s="244"/>
      <c r="BW593" s="576">
        <f t="shared" si="291"/>
        <v>25850</v>
      </c>
      <c r="BX593" s="577">
        <f t="shared" si="292"/>
        <v>0</v>
      </c>
      <c r="BZ593" s="166">
        <v>25850</v>
      </c>
      <c r="CA593" s="166">
        <v>25850</v>
      </c>
      <c r="CC593" s="753"/>
      <c r="CE593" s="166">
        <v>25850</v>
      </c>
      <c r="CF593" s="166"/>
      <c r="CO593" s="16"/>
    </row>
    <row r="594" spans="1:93" x14ac:dyDescent="0.3">
      <c r="A594" s="11">
        <v>423</v>
      </c>
      <c r="B594" s="3" t="s">
        <v>2</v>
      </c>
      <c r="C594" s="37">
        <v>42305</v>
      </c>
      <c r="D594" s="37">
        <v>55320</v>
      </c>
      <c r="E594" s="49" t="s">
        <v>118</v>
      </c>
      <c r="F594" s="3" t="s">
        <v>2</v>
      </c>
      <c r="G594" s="3" t="s">
        <v>420</v>
      </c>
      <c r="H594" s="26">
        <v>20000</v>
      </c>
      <c r="I594" s="244">
        <v>-2000</v>
      </c>
      <c r="J594" s="16">
        <f t="shared" si="280"/>
        <v>18000</v>
      </c>
      <c r="K594" s="122">
        <f t="shared" si="281"/>
        <v>-0.1</v>
      </c>
      <c r="M594" s="117">
        <v>18000</v>
      </c>
      <c r="N594" s="117">
        <v>18000</v>
      </c>
      <c r="P594" s="259"/>
      <c r="R594" s="26">
        <v>18000</v>
      </c>
      <c r="S594" s="26">
        <v>10858.58</v>
      </c>
      <c r="U594" s="26">
        <v>18000</v>
      </c>
      <c r="V594" s="244">
        <v>0</v>
      </c>
      <c r="W594" s="16">
        <f t="shared" si="282"/>
        <v>18000</v>
      </c>
      <c r="X594" s="122">
        <f t="shared" si="283"/>
        <v>0</v>
      </c>
      <c r="Z594" s="117">
        <v>18000</v>
      </c>
      <c r="AA594" s="117">
        <v>18000</v>
      </c>
      <c r="AC594" s="259"/>
      <c r="AE594" s="26">
        <v>18000</v>
      </c>
      <c r="AF594" s="200">
        <v>3816.43</v>
      </c>
      <c r="AH594" s="26">
        <v>18000</v>
      </c>
      <c r="AI594" s="244"/>
      <c r="AJ594" s="16">
        <f t="shared" si="284"/>
        <v>18000</v>
      </c>
      <c r="AK594" s="122">
        <f t="shared" si="285"/>
        <v>0</v>
      </c>
      <c r="AM594" s="117">
        <v>18000</v>
      </c>
      <c r="AN594" s="117">
        <v>18000</v>
      </c>
      <c r="AP594" s="259"/>
      <c r="AR594" s="26">
        <v>18000</v>
      </c>
      <c r="AS594" s="26">
        <v>5852.8</v>
      </c>
      <c r="AU594" s="26">
        <f t="shared" si="286"/>
        <v>18000</v>
      </c>
      <c r="AV594" s="244"/>
      <c r="AW594" s="16">
        <f t="shared" si="287"/>
        <v>18000</v>
      </c>
      <c r="AX594" s="122">
        <f t="shared" si="288"/>
        <v>0</v>
      </c>
      <c r="AZ594" s="117">
        <v>18000</v>
      </c>
      <c r="BA594" s="117">
        <v>18000</v>
      </c>
      <c r="BC594" s="259"/>
      <c r="BE594" s="26">
        <v>18000</v>
      </c>
      <c r="BF594" s="26">
        <v>5945</v>
      </c>
      <c r="BH594" s="26">
        <v>18000</v>
      </c>
      <c r="BI594" s="244"/>
      <c r="BJ594" s="16">
        <f t="shared" si="289"/>
        <v>18000</v>
      </c>
      <c r="BK594" s="122">
        <f t="shared" si="290"/>
        <v>0</v>
      </c>
      <c r="BM594" s="117">
        <v>18000</v>
      </c>
      <c r="BN594" s="117">
        <v>18000</v>
      </c>
      <c r="BP594" s="259"/>
      <c r="BR594" s="117">
        <v>18000</v>
      </c>
      <c r="BS594" s="26"/>
      <c r="BU594" s="26">
        <v>18000</v>
      </c>
      <c r="BV594" s="244">
        <v>-15000</v>
      </c>
      <c r="BW594" s="576">
        <f t="shared" si="291"/>
        <v>3000</v>
      </c>
      <c r="BX594" s="577">
        <f t="shared" si="292"/>
        <v>-0.83333333333333337</v>
      </c>
      <c r="BZ594" s="166">
        <v>3000</v>
      </c>
      <c r="CA594" s="166">
        <v>3000</v>
      </c>
      <c r="CC594" s="755" t="s">
        <v>1372</v>
      </c>
      <c r="CE594" s="166">
        <v>3000</v>
      </c>
      <c r="CF594" s="166"/>
      <c r="CO594" s="16"/>
    </row>
    <row r="595" spans="1:93" x14ac:dyDescent="0.3">
      <c r="A595" s="11">
        <v>423</v>
      </c>
      <c r="B595" s="3" t="s">
        <v>2</v>
      </c>
      <c r="C595" s="37">
        <v>42305</v>
      </c>
      <c r="D595" s="37">
        <v>55330</v>
      </c>
      <c r="E595" s="49" t="s">
        <v>118</v>
      </c>
      <c r="F595" s="3" t="s">
        <v>2</v>
      </c>
      <c r="G595" s="178" t="s">
        <v>1373</v>
      </c>
      <c r="H595" s="26">
        <v>69000</v>
      </c>
      <c r="I595" s="244">
        <v>4000</v>
      </c>
      <c r="J595" s="16">
        <f t="shared" si="280"/>
        <v>73000</v>
      </c>
      <c r="K595" s="122">
        <f t="shared" si="281"/>
        <v>5.7971014492753624E-2</v>
      </c>
      <c r="M595" s="117">
        <v>73000</v>
      </c>
      <c r="N595" s="117">
        <v>73000</v>
      </c>
      <c r="P595" s="259"/>
      <c r="R595" s="26">
        <v>73000</v>
      </c>
      <c r="S595" s="26">
        <v>77302.39</v>
      </c>
      <c r="U595" s="26">
        <v>73000</v>
      </c>
      <c r="V595" s="244">
        <v>0</v>
      </c>
      <c r="W595" s="16">
        <f t="shared" si="282"/>
        <v>73000</v>
      </c>
      <c r="X595" s="122">
        <f t="shared" si="283"/>
        <v>0</v>
      </c>
      <c r="Z595" s="117">
        <v>73000</v>
      </c>
      <c r="AA595" s="117">
        <v>73000</v>
      </c>
      <c r="AC595" s="259"/>
      <c r="AE595" s="26">
        <v>73000</v>
      </c>
      <c r="AF595" s="200">
        <v>58345.94</v>
      </c>
      <c r="AH595" s="26">
        <v>73000</v>
      </c>
      <c r="AI595" s="244"/>
      <c r="AJ595" s="16">
        <f t="shared" si="284"/>
        <v>73000</v>
      </c>
      <c r="AK595" s="122">
        <f t="shared" si="285"/>
        <v>0</v>
      </c>
      <c r="AM595" s="117">
        <v>73000</v>
      </c>
      <c r="AN595" s="117">
        <v>73000</v>
      </c>
      <c r="AP595" s="259"/>
      <c r="AR595" s="26">
        <v>73000</v>
      </c>
      <c r="AS595" s="26">
        <v>43101.84</v>
      </c>
      <c r="AU595" s="26">
        <f t="shared" si="286"/>
        <v>73000</v>
      </c>
      <c r="AV595" s="244"/>
      <c r="AW595" s="16">
        <f t="shared" si="287"/>
        <v>73000</v>
      </c>
      <c r="AX595" s="122">
        <f t="shared" si="288"/>
        <v>0</v>
      </c>
      <c r="AZ595" s="117">
        <v>73000</v>
      </c>
      <c r="BA595" s="117">
        <v>73000</v>
      </c>
      <c r="BC595" s="259"/>
      <c r="BE595" s="26">
        <v>73000</v>
      </c>
      <c r="BF595" s="26">
        <v>72685.67</v>
      </c>
      <c r="BH595" s="26">
        <v>73000</v>
      </c>
      <c r="BI595" s="244"/>
      <c r="BJ595" s="16">
        <f t="shared" si="289"/>
        <v>73000</v>
      </c>
      <c r="BK595" s="122">
        <f t="shared" si="290"/>
        <v>0</v>
      </c>
      <c r="BM595" s="117">
        <v>73000</v>
      </c>
      <c r="BN595" s="117">
        <v>73000</v>
      </c>
      <c r="BP595" s="259"/>
      <c r="BR595" s="117">
        <v>73000</v>
      </c>
      <c r="BS595" s="26">
        <v>15152.47</v>
      </c>
      <c r="BU595" s="26">
        <v>73000</v>
      </c>
      <c r="BV595" s="244">
        <v>10000</v>
      </c>
      <c r="BW595" s="576">
        <f t="shared" si="291"/>
        <v>83000</v>
      </c>
      <c r="BX595" s="577">
        <f t="shared" si="292"/>
        <v>0.13698630136986301</v>
      </c>
      <c r="BZ595" s="166">
        <v>83000</v>
      </c>
      <c r="CA595" s="166">
        <v>83000</v>
      </c>
      <c r="CC595" s="755" t="s">
        <v>1372</v>
      </c>
      <c r="CE595" s="166">
        <v>83000</v>
      </c>
      <c r="CF595" s="166"/>
      <c r="CO595" s="16"/>
    </row>
    <row r="596" spans="1:93" x14ac:dyDescent="0.3">
      <c r="A596" s="11">
        <v>423</v>
      </c>
      <c r="B596" s="3" t="s">
        <v>2</v>
      </c>
      <c r="C596" s="37">
        <v>42305</v>
      </c>
      <c r="D596" s="37">
        <v>55340</v>
      </c>
      <c r="E596" s="49" t="s">
        <v>118</v>
      </c>
      <c r="F596" s="3" t="s">
        <v>2</v>
      </c>
      <c r="G596" s="3" t="s">
        <v>421</v>
      </c>
      <c r="H596" s="26">
        <v>3600</v>
      </c>
      <c r="I596" s="244"/>
      <c r="J596" s="16">
        <f t="shared" si="280"/>
        <v>3600</v>
      </c>
      <c r="K596" s="122">
        <f t="shared" si="281"/>
        <v>0</v>
      </c>
      <c r="M596" s="117">
        <v>3600</v>
      </c>
      <c r="N596" s="117">
        <v>3600</v>
      </c>
      <c r="P596" s="259"/>
      <c r="R596" s="26">
        <v>3600</v>
      </c>
      <c r="S596" s="26">
        <v>1718.7</v>
      </c>
      <c r="U596" s="26">
        <v>3600</v>
      </c>
      <c r="V596" s="244">
        <v>0</v>
      </c>
      <c r="W596" s="16">
        <f t="shared" si="282"/>
        <v>3600</v>
      </c>
      <c r="X596" s="122">
        <f t="shared" si="283"/>
        <v>0</v>
      </c>
      <c r="Z596" s="117">
        <v>3600</v>
      </c>
      <c r="AA596" s="117">
        <v>3600</v>
      </c>
      <c r="AC596" s="259"/>
      <c r="AE596" s="26">
        <v>3600</v>
      </c>
      <c r="AF596" s="200">
        <v>3722.86</v>
      </c>
      <c r="AH596" s="26">
        <v>3600</v>
      </c>
      <c r="AI596" s="244"/>
      <c r="AJ596" s="16">
        <f t="shared" si="284"/>
        <v>3600</v>
      </c>
      <c r="AK596" s="122">
        <f t="shared" si="285"/>
        <v>0</v>
      </c>
      <c r="AM596" s="117">
        <v>3600</v>
      </c>
      <c r="AN596" s="117">
        <v>3600</v>
      </c>
      <c r="AP596" s="259"/>
      <c r="AR596" s="26">
        <v>3600</v>
      </c>
      <c r="AS596" s="26">
        <v>1852.48</v>
      </c>
      <c r="AU596" s="26">
        <f t="shared" si="286"/>
        <v>3600</v>
      </c>
      <c r="AV596" s="244"/>
      <c r="AW596" s="16">
        <f t="shared" si="287"/>
        <v>3600</v>
      </c>
      <c r="AX596" s="122">
        <f t="shared" si="288"/>
        <v>0</v>
      </c>
      <c r="AZ596" s="117">
        <v>3600</v>
      </c>
      <c r="BA596" s="117">
        <v>3600</v>
      </c>
      <c r="BC596" s="259"/>
      <c r="BE596" s="26">
        <v>3600</v>
      </c>
      <c r="BF596" s="26">
        <v>3175.8</v>
      </c>
      <c r="BH596" s="26">
        <v>3600</v>
      </c>
      <c r="BI596" s="244"/>
      <c r="BJ596" s="16">
        <f t="shared" si="289"/>
        <v>3600</v>
      </c>
      <c r="BK596" s="122">
        <f t="shared" si="290"/>
        <v>0</v>
      </c>
      <c r="BM596" s="117">
        <v>3600</v>
      </c>
      <c r="BN596" s="117">
        <v>3600</v>
      </c>
      <c r="BP596" s="259"/>
      <c r="BR596" s="117">
        <v>3600</v>
      </c>
      <c r="BS596" s="26"/>
      <c r="BU596" s="26">
        <v>3600</v>
      </c>
      <c r="BV596" s="244"/>
      <c r="BW596" s="576">
        <f t="shared" si="291"/>
        <v>3600</v>
      </c>
      <c r="BX596" s="577">
        <f t="shared" si="292"/>
        <v>0</v>
      </c>
      <c r="BZ596" s="166">
        <v>3600</v>
      </c>
      <c r="CA596" s="166">
        <v>3600</v>
      </c>
      <c r="CC596" s="753"/>
      <c r="CE596" s="166">
        <v>3600</v>
      </c>
      <c r="CF596" s="166"/>
      <c r="CO596" s="16"/>
    </row>
    <row r="597" spans="1:93" s="19" customFormat="1" x14ac:dyDescent="0.3">
      <c r="A597" s="27"/>
      <c r="B597" s="8"/>
      <c r="C597" s="42"/>
      <c r="D597" s="42"/>
      <c r="E597" s="54"/>
      <c r="F597" s="8"/>
      <c r="G597" s="57" t="s">
        <v>187</v>
      </c>
      <c r="H597" s="28">
        <f>SUM(H590:H596)</f>
        <v>178655</v>
      </c>
      <c r="I597" s="28">
        <f>SUM(I590:I596)</f>
        <v>3190</v>
      </c>
      <c r="J597" s="28">
        <f>SUM(J590:J596)</f>
        <v>181845</v>
      </c>
      <c r="K597" s="123">
        <f>IF(H597=0," ",(J597-H597)/H597)</f>
        <v>1.7855643558814475E-2</v>
      </c>
      <c r="M597" s="28">
        <f>SUM(M590:M596)</f>
        <v>181845</v>
      </c>
      <c r="N597" s="28">
        <f>SUM(N590:N596)</f>
        <v>181845</v>
      </c>
      <c r="P597" s="139">
        <f>SUM(P587:P596)</f>
        <v>0</v>
      </c>
      <c r="R597" s="28">
        <f>SUM(R590:R596)</f>
        <v>181845</v>
      </c>
      <c r="S597" s="28">
        <f>SUM(S590:S596)</f>
        <v>216777.97999999998</v>
      </c>
      <c r="U597" s="28">
        <f>SUM(U590:U596)</f>
        <v>181845</v>
      </c>
      <c r="V597" s="28">
        <f>SUM(V590:V596)</f>
        <v>0</v>
      </c>
      <c r="W597" s="28">
        <f>SUM(W590:W596)</f>
        <v>181845</v>
      </c>
      <c r="X597" s="123">
        <f>IF(U597=0," ",(W597-U597)/U597)</f>
        <v>0</v>
      </c>
      <c r="Z597" s="28">
        <f>SUM(Z590:Z596)</f>
        <v>181845</v>
      </c>
      <c r="AA597" s="28">
        <f>SUM(AA590:AA596)</f>
        <v>181845</v>
      </c>
      <c r="AC597" s="139"/>
      <c r="AE597" s="28">
        <f>SUM(AE590:AE596)</f>
        <v>181845</v>
      </c>
      <c r="AF597" s="28">
        <f>SUM(AF590:AF596)</f>
        <v>156965.33999999997</v>
      </c>
      <c r="AH597" s="28">
        <f>SUM(AH590:AH596)</f>
        <v>181845</v>
      </c>
      <c r="AI597" s="28">
        <f>SUM(AI590:AI596)</f>
        <v>0</v>
      </c>
      <c r="AJ597" s="28">
        <f>SUM(AJ590:AJ596)</f>
        <v>181845</v>
      </c>
      <c r="AK597" s="123">
        <f>IF(AH597=0," ",(AJ597-AH597)/AH597)</f>
        <v>0</v>
      </c>
      <c r="AM597" s="28">
        <f>SUM(AM590:AM596)</f>
        <v>181845</v>
      </c>
      <c r="AN597" s="28">
        <f>SUM(AN590:AN596)</f>
        <v>181845</v>
      </c>
      <c r="AP597" s="139"/>
      <c r="AR597" s="28">
        <f>SUM(AR590:AR596)</f>
        <v>181845</v>
      </c>
      <c r="AS597" s="28">
        <f>SUM(AS590:AS596)</f>
        <v>111598.14</v>
      </c>
      <c r="AU597" s="28">
        <f>SUM(AU590:AU596)</f>
        <v>181845</v>
      </c>
      <c r="AV597" s="28">
        <f>SUM(AV590:AV596)</f>
        <v>0</v>
      </c>
      <c r="AW597" s="28">
        <f>SUM(AW590:AW596)</f>
        <v>181845</v>
      </c>
      <c r="AX597" s="123">
        <f>IF(AU597=0," ",(AW597-AU597)/AU597)</f>
        <v>0</v>
      </c>
      <c r="AZ597" s="28">
        <f>SUM(AZ590:AZ596)</f>
        <v>181845</v>
      </c>
      <c r="BA597" s="28">
        <f>SUM(BA590:BA596)</f>
        <v>181845</v>
      </c>
      <c r="BC597" s="139"/>
      <c r="BE597" s="28">
        <f>SUM(BE590:BE596)</f>
        <v>181845</v>
      </c>
      <c r="BF597" s="28">
        <f>SUM(BF590:BF596)</f>
        <v>162598.58999999997</v>
      </c>
      <c r="BG597" s="9"/>
      <c r="BH597" s="28">
        <f>SUM(BH590:BH596)</f>
        <v>181845</v>
      </c>
      <c r="BI597" s="28">
        <f>SUM(BI590:BI596)</f>
        <v>0</v>
      </c>
      <c r="BJ597" s="28">
        <f>SUM(BJ590:BJ596)</f>
        <v>181845</v>
      </c>
      <c r="BK597" s="123">
        <f>IF(BH597=0," ",(BJ597-BH597)/BH597)</f>
        <v>0</v>
      </c>
      <c r="BM597" s="28">
        <f>SUM(BM590:BM596)</f>
        <v>181845</v>
      </c>
      <c r="BN597" s="28">
        <f>SUM(BN590:BN596)</f>
        <v>181845</v>
      </c>
      <c r="BP597" s="139"/>
      <c r="BR597" s="28">
        <f>SUM(BR590:BR596)</f>
        <v>181845</v>
      </c>
      <c r="BS597" s="28">
        <f>SUM(BS590:BS596)</f>
        <v>27155.35</v>
      </c>
      <c r="BT597" s="9"/>
      <c r="BU597" s="28">
        <f>SUM(BU590:BU596)</f>
        <v>181845</v>
      </c>
      <c r="BV597" s="532">
        <f>SUM(BV590:BV596)</f>
        <v>-5000</v>
      </c>
      <c r="BW597" s="591">
        <f>SUM(BW590:BW596)</f>
        <v>176845</v>
      </c>
      <c r="BX597" s="579">
        <f>IF(BU597=0," ",(BW597-BU597)/BU597)</f>
        <v>-2.749594434820864E-2</v>
      </c>
      <c r="BY597" s="580"/>
      <c r="BZ597" s="591">
        <f>SUM(BZ590:BZ596)</f>
        <v>176845</v>
      </c>
      <c r="CA597" s="591">
        <f>SUM(CA590:CA596)</f>
        <v>176845</v>
      </c>
      <c r="CB597" s="580"/>
      <c r="CC597" s="769"/>
      <c r="CD597" s="580"/>
      <c r="CE597" s="591">
        <f>SUM(CE590:CE596)</f>
        <v>176845</v>
      </c>
      <c r="CF597" s="591">
        <f>SUM(CF590:CF596)</f>
        <v>0</v>
      </c>
      <c r="CG597" s="9"/>
      <c r="CH597" s="815"/>
      <c r="CI597" s="815"/>
      <c r="CJ597" s="887"/>
      <c r="CO597" s="16"/>
    </row>
    <row r="598" spans="1:93" ht="9.9" customHeight="1" x14ac:dyDescent="0.3">
      <c r="AS598" s="16"/>
      <c r="CO598" s="16"/>
    </row>
    <row r="599" spans="1:93" s="1" customFormat="1" x14ac:dyDescent="0.3">
      <c r="A599" s="20"/>
      <c r="B599" s="5"/>
      <c r="C599" s="39"/>
      <c r="D599" s="39"/>
      <c r="E599" s="51"/>
      <c r="F599" s="5"/>
      <c r="G599" s="21" t="s">
        <v>188</v>
      </c>
      <c r="H599" s="22">
        <f>H588+H597</f>
        <v>210983</v>
      </c>
      <c r="I599" s="22">
        <f>I588+I597</f>
        <v>3190</v>
      </c>
      <c r="J599" s="22">
        <f>J588+J597</f>
        <v>214173</v>
      </c>
      <c r="K599" s="124">
        <f>IF(H599=0," ",(J599-H599)/H599)</f>
        <v>1.5119701587331681E-2</v>
      </c>
      <c r="M599" s="22">
        <f>M588+M597</f>
        <v>214173</v>
      </c>
      <c r="N599" s="22">
        <f>N588+N597</f>
        <v>214173</v>
      </c>
      <c r="P599" s="136">
        <f>P588+P597</f>
        <v>0</v>
      </c>
      <c r="R599" s="22">
        <f>R588+R597</f>
        <v>214173</v>
      </c>
      <c r="S599" s="22">
        <f>S588+S597</f>
        <v>259734.19999999998</v>
      </c>
      <c r="U599" s="22">
        <f>U588+U597</f>
        <v>214173</v>
      </c>
      <c r="V599" s="22">
        <f>V588+V597</f>
        <v>0</v>
      </c>
      <c r="W599" s="22">
        <f>W588+W597</f>
        <v>214173</v>
      </c>
      <c r="X599" s="124">
        <f>IF(U599=0," ",(W599-U599)/U599)</f>
        <v>0</v>
      </c>
      <c r="Z599" s="22">
        <f>Z588+Z597</f>
        <v>214173</v>
      </c>
      <c r="AA599" s="22">
        <f>AA588+AA597</f>
        <v>214173</v>
      </c>
      <c r="AC599" s="136"/>
      <c r="AE599" s="22">
        <f>AE588+AE597</f>
        <v>214173</v>
      </c>
      <c r="AF599" s="199">
        <f>AF588+AF597</f>
        <v>189293.33999999997</v>
      </c>
      <c r="AH599" s="22">
        <v>214173</v>
      </c>
      <c r="AI599" s="22">
        <f>AI588+AI597</f>
        <v>1542</v>
      </c>
      <c r="AJ599" s="22">
        <f>AJ588+AJ597</f>
        <v>215715</v>
      </c>
      <c r="AK599" s="124">
        <f>IF(AH599=0," ",(AJ599-AH599)/AH599)</f>
        <v>7.1997870880082925E-3</v>
      </c>
      <c r="AM599" s="22">
        <f>AM588+AM597</f>
        <v>215715</v>
      </c>
      <c r="AN599" s="22">
        <f>AN588+AN597</f>
        <v>215715</v>
      </c>
      <c r="AP599" s="136"/>
      <c r="AR599" s="22">
        <f>AR588+AR597</f>
        <v>215715</v>
      </c>
      <c r="AS599" s="22">
        <f>AS588+AS597</f>
        <v>137999.04000000001</v>
      </c>
      <c r="AU599" s="22">
        <f>AU588+AU597</f>
        <v>215715</v>
      </c>
      <c r="AV599" s="22">
        <f>AV588+AV597</f>
        <v>0</v>
      </c>
      <c r="AW599" s="22">
        <f>AW588+AW597</f>
        <v>215715</v>
      </c>
      <c r="AX599" s="124">
        <f>IF(AU599=0," ",(AW599-AU599)/AU599)</f>
        <v>0</v>
      </c>
      <c r="AZ599" s="22">
        <f>AZ588+AZ597</f>
        <v>215715</v>
      </c>
      <c r="BA599" s="22">
        <f>BA588+BA597</f>
        <v>215715</v>
      </c>
      <c r="BC599" s="136"/>
      <c r="BE599" s="22">
        <f>BE588+BE597</f>
        <v>215715</v>
      </c>
      <c r="BF599" s="22">
        <f>BF588+BF597</f>
        <v>196469.03999999998</v>
      </c>
      <c r="BH599" s="22">
        <f>BH588+BH597</f>
        <v>215715</v>
      </c>
      <c r="BI599" s="22">
        <f>BI588+BI597</f>
        <v>0</v>
      </c>
      <c r="BJ599" s="22">
        <f>BJ588+BJ597</f>
        <v>215715</v>
      </c>
      <c r="BK599" s="124">
        <f>IF(BH599=0," ",(BJ599-BH599)/BH599)</f>
        <v>0</v>
      </c>
      <c r="BM599" s="22">
        <f>BM588+BM597</f>
        <v>215715</v>
      </c>
      <c r="BN599" s="22">
        <f>BN588+BN597</f>
        <v>215715</v>
      </c>
      <c r="BP599" s="136"/>
      <c r="BR599" s="22">
        <f>BR588+BR597</f>
        <v>215715</v>
      </c>
      <c r="BS599" s="22">
        <f>BS588+BS597</f>
        <v>28068.89</v>
      </c>
      <c r="BU599" s="22">
        <f>BU588+BU597</f>
        <v>215715</v>
      </c>
      <c r="BV599" s="531">
        <f>BV588+BV597</f>
        <v>0</v>
      </c>
      <c r="BW599" s="581">
        <f>BW588+BW597</f>
        <v>215715</v>
      </c>
      <c r="BX599" s="582">
        <f>IF(BU599=0," ",(BW599-BU599)/BU599)</f>
        <v>0</v>
      </c>
      <c r="BY599" s="573"/>
      <c r="BZ599" s="581">
        <f>BZ588+BZ597</f>
        <v>215715</v>
      </c>
      <c r="CA599" s="581">
        <f>CA588+CA597</f>
        <v>215715</v>
      </c>
      <c r="CB599" s="573"/>
      <c r="CC599" s="764"/>
      <c r="CD599" s="573"/>
      <c r="CE599" s="581">
        <f>CE588+CE597</f>
        <v>215715</v>
      </c>
      <c r="CF599" s="581">
        <f>CF588+CF597</f>
        <v>0</v>
      </c>
      <c r="CH599" s="812"/>
      <c r="CI599" s="812"/>
      <c r="CJ599" s="886"/>
      <c r="CO599" s="16"/>
    </row>
    <row r="600" spans="1:93" ht="20.100000000000001" customHeight="1" x14ac:dyDescent="0.3">
      <c r="AS600" s="16"/>
      <c r="CO600" s="16"/>
    </row>
    <row r="601" spans="1:93" s="1" customFormat="1" ht="15.6" x14ac:dyDescent="0.3">
      <c r="A601" s="14" t="s">
        <v>189</v>
      </c>
      <c r="B601" s="2"/>
      <c r="C601" s="36"/>
      <c r="D601" s="36"/>
      <c r="E601" s="48"/>
      <c r="F601" s="2"/>
      <c r="G601" s="2"/>
      <c r="H601" s="15"/>
      <c r="I601" s="15"/>
      <c r="J601" s="15"/>
      <c r="K601" s="121"/>
      <c r="M601" s="15"/>
      <c r="N601" s="15"/>
      <c r="P601" s="133"/>
      <c r="R601" s="15"/>
      <c r="S601" s="15"/>
      <c r="U601" s="15"/>
      <c r="V601" s="15"/>
      <c r="W601" s="15"/>
      <c r="X601" s="121"/>
      <c r="Z601" s="15"/>
      <c r="AA601" s="15"/>
      <c r="AC601" s="133"/>
      <c r="AE601" s="15"/>
      <c r="AF601" s="196"/>
      <c r="AH601" s="15"/>
      <c r="AI601" s="15"/>
      <c r="AJ601" s="15"/>
      <c r="AK601" s="121"/>
      <c r="AM601" s="15"/>
      <c r="AN601" s="15"/>
      <c r="AP601" s="133"/>
      <c r="AR601" s="15"/>
      <c r="AS601" s="15"/>
      <c r="AU601" s="15"/>
      <c r="AV601" s="15"/>
      <c r="AW601" s="15"/>
      <c r="AX601" s="121"/>
      <c r="AZ601" s="15"/>
      <c r="BA601" s="15"/>
      <c r="BC601" s="133"/>
      <c r="BE601" s="15"/>
      <c r="BF601" s="15"/>
      <c r="BH601" s="15"/>
      <c r="BI601" s="15"/>
      <c r="BJ601" s="15"/>
      <c r="BK601" s="121"/>
      <c r="BM601" s="121"/>
      <c r="BN601" s="121"/>
      <c r="BP601" s="234"/>
      <c r="BR601" s="121"/>
      <c r="BS601" s="15"/>
      <c r="BU601" s="15"/>
      <c r="BV601" s="529"/>
      <c r="BW601" s="574"/>
      <c r="BX601" s="575"/>
      <c r="BY601" s="573"/>
      <c r="BZ601" s="575"/>
      <c r="CA601" s="575"/>
      <c r="CB601" s="573"/>
      <c r="CC601" s="761"/>
      <c r="CD601" s="573"/>
      <c r="CE601" s="575"/>
      <c r="CF601" s="575"/>
      <c r="CH601" s="812"/>
      <c r="CI601" s="812"/>
      <c r="CJ601" s="886"/>
      <c r="CO601" s="16"/>
    </row>
    <row r="602" spans="1:93" x14ac:dyDescent="0.3">
      <c r="A602" s="11">
        <v>424</v>
      </c>
      <c r="B602" s="3" t="s">
        <v>2</v>
      </c>
      <c r="C602" s="37">
        <v>42405</v>
      </c>
      <c r="D602" s="37">
        <v>52100</v>
      </c>
      <c r="E602" s="49" t="s">
        <v>118</v>
      </c>
      <c r="F602" s="3" t="s">
        <v>2</v>
      </c>
      <c r="G602" s="3" t="s">
        <v>422</v>
      </c>
      <c r="H602" s="26">
        <v>21200</v>
      </c>
      <c r="I602" s="244">
        <v>1485</v>
      </c>
      <c r="J602" s="16">
        <f>H602+I602</f>
        <v>22685</v>
      </c>
      <c r="K602" s="122">
        <f>IF(H602=0," ",(J602-H602)/H602)</f>
        <v>7.0047169811320753E-2</v>
      </c>
      <c r="M602" s="117">
        <v>22685</v>
      </c>
      <c r="N602" s="117">
        <v>22685</v>
      </c>
      <c r="P602" s="259"/>
      <c r="R602" s="26">
        <v>22685</v>
      </c>
      <c r="S602" s="26">
        <v>24990.34</v>
      </c>
      <c r="U602" s="26">
        <v>22685</v>
      </c>
      <c r="V602" s="244">
        <v>0</v>
      </c>
      <c r="W602" s="16">
        <f>U602+V602</f>
        <v>22685</v>
      </c>
      <c r="X602" s="122">
        <f>IF(U602=0," ",(W602-U602)/U602)</f>
        <v>0</v>
      </c>
      <c r="Z602" s="117">
        <v>22685</v>
      </c>
      <c r="AA602" s="117">
        <f>22685+2175</f>
        <v>24860</v>
      </c>
      <c r="AC602" s="259" t="s">
        <v>743</v>
      </c>
      <c r="AE602" s="26">
        <f>22685+2175</f>
        <v>24860</v>
      </c>
      <c r="AF602" s="200">
        <v>26110.95</v>
      </c>
      <c r="AH602" s="26">
        <v>24860</v>
      </c>
      <c r="AI602" s="244"/>
      <c r="AJ602" s="16">
        <f>AH602+AI602</f>
        <v>24860</v>
      </c>
      <c r="AK602" s="122">
        <f>IF(AH602=0," ",(AJ602-AH602)/AH602)</f>
        <v>0</v>
      </c>
      <c r="AM602" s="117">
        <f>24860+1244</f>
        <v>26104</v>
      </c>
      <c r="AN602" s="117">
        <f>24860+1244</f>
        <v>26104</v>
      </c>
      <c r="AO602" s="178"/>
      <c r="AP602" s="266" t="s">
        <v>821</v>
      </c>
      <c r="AR602" s="26">
        <f>24860+1244</f>
        <v>26104</v>
      </c>
      <c r="AS602" s="26">
        <v>28756.2</v>
      </c>
      <c r="AU602" s="26">
        <f>AR602</f>
        <v>26104</v>
      </c>
      <c r="AV602" s="244"/>
      <c r="AW602" s="16">
        <f>AU602+AV602</f>
        <v>26104</v>
      </c>
      <c r="AX602" s="122">
        <f>IF(AU602=0," ",(AW602-AU602)/AU602)</f>
        <v>0</v>
      </c>
      <c r="AZ602" s="117">
        <v>26104</v>
      </c>
      <c r="BA602" s="117">
        <v>26104</v>
      </c>
      <c r="BB602" s="178"/>
      <c r="BC602" s="266"/>
      <c r="BE602" s="26">
        <v>26104</v>
      </c>
      <c r="BF602" s="26">
        <v>25381.91</v>
      </c>
      <c r="BH602" s="26">
        <v>26104</v>
      </c>
      <c r="BI602" s="244"/>
      <c r="BJ602" s="16">
        <f>BH602+BI602</f>
        <v>26104</v>
      </c>
      <c r="BK602" s="122">
        <f>IF(BH602=0," ",(BJ602-BH602)/BH602)</f>
        <v>0</v>
      </c>
      <c r="BM602" s="117">
        <v>26104</v>
      </c>
      <c r="BN602" s="117">
        <f>26104+3896</f>
        <v>30000</v>
      </c>
      <c r="BO602" s="178"/>
      <c r="BP602" s="266" t="s">
        <v>1199</v>
      </c>
      <c r="BR602" s="117">
        <f>26104+3896</f>
        <v>30000</v>
      </c>
      <c r="BS602" s="26">
        <v>12460.13</v>
      </c>
      <c r="BU602" s="26">
        <f>26104+3896</f>
        <v>30000</v>
      </c>
      <c r="BV602" s="244"/>
      <c r="BW602" s="576">
        <f>BU602+BV602</f>
        <v>30000</v>
      </c>
      <c r="BX602" s="577">
        <f>IF(BU602=0," ",(BW602-BU602)/BU602)</f>
        <v>0</v>
      </c>
      <c r="BZ602" s="166">
        <v>30000</v>
      </c>
      <c r="CA602" s="166">
        <v>30000</v>
      </c>
      <c r="CC602" s="753"/>
      <c r="CE602" s="166">
        <v>30000</v>
      </c>
      <c r="CF602" s="166"/>
      <c r="CO602" s="16"/>
    </row>
    <row r="603" spans="1:93" s="19" customFormat="1" x14ac:dyDescent="0.3">
      <c r="A603" s="27"/>
      <c r="B603" s="8"/>
      <c r="C603" s="42"/>
      <c r="D603" s="42"/>
      <c r="E603" s="54"/>
      <c r="F603" s="8"/>
      <c r="G603" s="57" t="s">
        <v>190</v>
      </c>
      <c r="H603" s="28">
        <f t="shared" ref="H603" si="293">SUM(H602)</f>
        <v>21200</v>
      </c>
      <c r="I603" s="28">
        <f>SUM(I602)</f>
        <v>1485</v>
      </c>
      <c r="J603" s="28">
        <f>SUM(J602)</f>
        <v>22685</v>
      </c>
      <c r="K603" s="123">
        <f>IF(H603=0," ",(J603-H603)/H603)</f>
        <v>7.0047169811320753E-2</v>
      </c>
      <c r="M603" s="28">
        <f>SUM(M602)</f>
        <v>22685</v>
      </c>
      <c r="N603" s="28">
        <f>SUM(N602)</f>
        <v>22685</v>
      </c>
      <c r="P603" s="139">
        <f>SUM(P602)</f>
        <v>0</v>
      </c>
      <c r="R603" s="28">
        <f>SUM(R602)</f>
        <v>22685</v>
      </c>
      <c r="S603" s="28">
        <f>SUM(S602)</f>
        <v>24990.34</v>
      </c>
      <c r="U603" s="28">
        <f>SUM(U602)</f>
        <v>22685</v>
      </c>
      <c r="V603" s="28">
        <f>SUM(V602)</f>
        <v>0</v>
      </c>
      <c r="W603" s="28">
        <f>SUM(W602)</f>
        <v>22685</v>
      </c>
      <c r="X603" s="123">
        <f>IF(U603=0," ",(W603-U603)/U603)</f>
        <v>0</v>
      </c>
      <c r="Z603" s="28">
        <f>SUM(Z602)</f>
        <v>22685</v>
      </c>
      <c r="AA603" s="28">
        <f>SUM(AA602)</f>
        <v>24860</v>
      </c>
      <c r="AC603" s="139"/>
      <c r="AE603" s="28">
        <f>SUM(AE602)</f>
        <v>24860</v>
      </c>
      <c r="AF603" s="201">
        <f>SUM(AF602)</f>
        <v>26110.95</v>
      </c>
      <c r="AH603" s="28">
        <v>24860</v>
      </c>
      <c r="AI603" s="28">
        <f>SUM(AI602)</f>
        <v>0</v>
      </c>
      <c r="AJ603" s="28">
        <f>SUM(AJ602)</f>
        <v>24860</v>
      </c>
      <c r="AK603" s="123">
        <f>IF(AH603=0," ",(AJ603-AH603)/AH603)</f>
        <v>0</v>
      </c>
      <c r="AM603" s="28">
        <f>SUM(AM602)</f>
        <v>26104</v>
      </c>
      <c r="AN603" s="28">
        <f>SUM(AN602)</f>
        <v>26104</v>
      </c>
      <c r="AP603" s="139"/>
      <c r="AR603" s="28">
        <f>SUM(AR602)</f>
        <v>26104</v>
      </c>
      <c r="AS603" s="28">
        <f>SUM(AS602)</f>
        <v>28756.2</v>
      </c>
      <c r="AU603" s="28">
        <f>SUM(AU602)</f>
        <v>26104</v>
      </c>
      <c r="AV603" s="28">
        <f>SUM(AV602)</f>
        <v>0</v>
      </c>
      <c r="AW603" s="28">
        <f>SUM(AW602)</f>
        <v>26104</v>
      </c>
      <c r="AX603" s="123">
        <f>IF(AU603=0," ",(AW603-AU603)/AU603)</f>
        <v>0</v>
      </c>
      <c r="AZ603" s="28">
        <f>SUM(AZ602)</f>
        <v>26104</v>
      </c>
      <c r="BA603" s="28">
        <f>SUM(BA602)</f>
        <v>26104</v>
      </c>
      <c r="BC603" s="139"/>
      <c r="BE603" s="28">
        <f>SUM(BE602)</f>
        <v>26104</v>
      </c>
      <c r="BF603" s="28">
        <f>SUM(BF602)</f>
        <v>25381.91</v>
      </c>
      <c r="BG603" s="9"/>
      <c r="BH603" s="28">
        <f>SUM(BH602)</f>
        <v>26104</v>
      </c>
      <c r="BI603" s="28">
        <f>SUM(BI602)</f>
        <v>0</v>
      </c>
      <c r="BJ603" s="28">
        <f>SUM(BJ602)</f>
        <v>26104</v>
      </c>
      <c r="BK603" s="123">
        <f>IF(BH603=0," ",(BJ603-BH603)/BH603)</f>
        <v>0</v>
      </c>
      <c r="BM603" s="28">
        <f>SUM(BM602)</f>
        <v>26104</v>
      </c>
      <c r="BN603" s="28">
        <f>SUM(BN602)</f>
        <v>30000</v>
      </c>
      <c r="BP603" s="139"/>
      <c r="BR603" s="28">
        <f>SUM(BR602)</f>
        <v>30000</v>
      </c>
      <c r="BS603" s="28">
        <f>SUM(BS602)</f>
        <v>12460.13</v>
      </c>
      <c r="BT603" s="9"/>
      <c r="BU603" s="28">
        <f>SUM(BU602)</f>
        <v>30000</v>
      </c>
      <c r="BV603" s="532">
        <f>SUM(BV602)</f>
        <v>0</v>
      </c>
      <c r="BW603" s="591">
        <f>SUM(BW602)</f>
        <v>30000</v>
      </c>
      <c r="BX603" s="579">
        <f>IF(BU603=0," ",(BW603-BU603)/BU603)</f>
        <v>0</v>
      </c>
      <c r="BY603" s="580"/>
      <c r="BZ603" s="591">
        <f>SUM(BZ602)</f>
        <v>30000</v>
      </c>
      <c r="CA603" s="591">
        <f>SUM(CA602)</f>
        <v>30000</v>
      </c>
      <c r="CB603" s="580"/>
      <c r="CC603" s="769"/>
      <c r="CD603" s="580"/>
      <c r="CE603" s="591">
        <f>SUM(CE602)</f>
        <v>30000</v>
      </c>
      <c r="CF603" s="591">
        <f>SUM(CF602)</f>
        <v>0</v>
      </c>
      <c r="CG603" s="9"/>
      <c r="CH603" s="815"/>
      <c r="CI603" s="815"/>
      <c r="CJ603" s="887"/>
      <c r="CO603" s="16"/>
    </row>
    <row r="604" spans="1:93" ht="9.9" customHeight="1" x14ac:dyDescent="0.3">
      <c r="AS604" s="16"/>
      <c r="CO604" s="16"/>
    </row>
    <row r="605" spans="1:93" s="1" customFormat="1" x14ac:dyDescent="0.3">
      <c r="A605" s="20"/>
      <c r="B605" s="5"/>
      <c r="C605" s="39"/>
      <c r="D605" s="39"/>
      <c r="E605" s="51"/>
      <c r="F605" s="5"/>
      <c r="G605" s="21" t="s">
        <v>191</v>
      </c>
      <c r="H605" s="22">
        <f t="shared" ref="H605" si="294">H603</f>
        <v>21200</v>
      </c>
      <c r="I605" s="22">
        <f>I603</f>
        <v>1485</v>
      </c>
      <c r="J605" s="22">
        <f>J603</f>
        <v>22685</v>
      </c>
      <c r="K605" s="124">
        <f>IF(H605=0," ",(J605-H605)/H605)</f>
        <v>7.0047169811320753E-2</v>
      </c>
      <c r="M605" s="22">
        <f>M603</f>
        <v>22685</v>
      </c>
      <c r="N605" s="22">
        <f>N603</f>
        <v>22685</v>
      </c>
      <c r="P605" s="136">
        <f>P603</f>
        <v>0</v>
      </c>
      <c r="R605" s="22">
        <f>R603</f>
        <v>22685</v>
      </c>
      <c r="S605" s="22">
        <f>S603</f>
        <v>24990.34</v>
      </c>
      <c r="U605" s="22">
        <f>U603</f>
        <v>22685</v>
      </c>
      <c r="V605" s="22">
        <f>V603</f>
        <v>0</v>
      </c>
      <c r="W605" s="22">
        <f>W603</f>
        <v>22685</v>
      </c>
      <c r="X605" s="124">
        <f>IF(U605=0," ",(W605-U605)/U605)</f>
        <v>0</v>
      </c>
      <c r="Z605" s="22">
        <f>Z603</f>
        <v>22685</v>
      </c>
      <c r="AA605" s="22">
        <f>AA603</f>
        <v>24860</v>
      </c>
      <c r="AC605" s="136"/>
      <c r="AE605" s="22">
        <f>AE603</f>
        <v>24860</v>
      </c>
      <c r="AF605" s="199">
        <f>AF603</f>
        <v>26110.95</v>
      </c>
      <c r="AH605" s="22">
        <v>24860</v>
      </c>
      <c r="AI605" s="22">
        <f>AI603</f>
        <v>0</v>
      </c>
      <c r="AJ605" s="22">
        <f>AJ603</f>
        <v>24860</v>
      </c>
      <c r="AK605" s="124">
        <f>IF(AH605=0," ",(AJ605-AH605)/AH605)</f>
        <v>0</v>
      </c>
      <c r="AM605" s="22">
        <f>AM603</f>
        <v>26104</v>
      </c>
      <c r="AN605" s="22">
        <f>AN603</f>
        <v>26104</v>
      </c>
      <c r="AP605" s="136"/>
      <c r="AR605" s="22">
        <f>AR603</f>
        <v>26104</v>
      </c>
      <c r="AS605" s="22">
        <f>AS603</f>
        <v>28756.2</v>
      </c>
      <c r="AU605" s="22">
        <f>AU603</f>
        <v>26104</v>
      </c>
      <c r="AV605" s="22">
        <f>AV603</f>
        <v>0</v>
      </c>
      <c r="AW605" s="22">
        <f>AW603</f>
        <v>26104</v>
      </c>
      <c r="AX605" s="124">
        <f>IF(AU605=0," ",(AW605-AU605)/AU605)</f>
        <v>0</v>
      </c>
      <c r="AZ605" s="22">
        <f>AZ603</f>
        <v>26104</v>
      </c>
      <c r="BA605" s="22">
        <f>BA603</f>
        <v>26104</v>
      </c>
      <c r="BC605" s="136"/>
      <c r="BE605" s="22">
        <f>BE603</f>
        <v>26104</v>
      </c>
      <c r="BF605" s="22">
        <f>BF603</f>
        <v>25381.91</v>
      </c>
      <c r="BH605" s="22">
        <f>BH603</f>
        <v>26104</v>
      </c>
      <c r="BI605" s="22">
        <f>BI603</f>
        <v>0</v>
      </c>
      <c r="BJ605" s="22">
        <f>BJ603</f>
        <v>26104</v>
      </c>
      <c r="BK605" s="124">
        <f>IF(BH605=0," ",(BJ605-BH605)/BH605)</f>
        <v>0</v>
      </c>
      <c r="BM605" s="22">
        <f>BM603</f>
        <v>26104</v>
      </c>
      <c r="BN605" s="22">
        <f>BN603</f>
        <v>30000</v>
      </c>
      <c r="BP605" s="136"/>
      <c r="BR605" s="22">
        <f>BR603</f>
        <v>30000</v>
      </c>
      <c r="BS605" s="22">
        <f>BS603</f>
        <v>12460.13</v>
      </c>
      <c r="BU605" s="22">
        <f>BU603</f>
        <v>30000</v>
      </c>
      <c r="BV605" s="531">
        <f>BV603</f>
        <v>0</v>
      </c>
      <c r="BW605" s="581">
        <f>BW603</f>
        <v>30000</v>
      </c>
      <c r="BX605" s="582">
        <f>IF(BU605=0," ",(BW605-BU605)/BU605)</f>
        <v>0</v>
      </c>
      <c r="BY605" s="573"/>
      <c r="BZ605" s="581">
        <f>BZ603</f>
        <v>30000</v>
      </c>
      <c r="CA605" s="581">
        <f>CA603</f>
        <v>30000</v>
      </c>
      <c r="CB605" s="573"/>
      <c r="CC605" s="764"/>
      <c r="CD605" s="573"/>
      <c r="CE605" s="581">
        <f>CE603</f>
        <v>30000</v>
      </c>
      <c r="CF605" s="581">
        <f>CF603</f>
        <v>0</v>
      </c>
      <c r="CH605" s="812"/>
      <c r="CI605" s="812"/>
      <c r="CJ605" s="886"/>
      <c r="CO605" s="16"/>
    </row>
    <row r="606" spans="1:93" ht="20.100000000000001" customHeight="1" x14ac:dyDescent="0.3">
      <c r="AS606" s="16"/>
      <c r="CO606" s="16"/>
    </row>
    <row r="607" spans="1:93" s="1" customFormat="1" ht="15.6" x14ac:dyDescent="0.3">
      <c r="A607" s="14" t="s">
        <v>509</v>
      </c>
      <c r="B607" s="2"/>
      <c r="C607" s="36"/>
      <c r="D607" s="36"/>
      <c r="E607" s="48"/>
      <c r="F607" s="2"/>
      <c r="G607" s="2"/>
      <c r="H607" s="15"/>
      <c r="I607" s="15"/>
      <c r="J607" s="15"/>
      <c r="K607" s="121"/>
      <c r="M607" s="15"/>
      <c r="N607" s="15"/>
      <c r="P607" s="133"/>
      <c r="R607" s="15"/>
      <c r="S607" s="15"/>
      <c r="U607" s="15"/>
      <c r="V607" s="15"/>
      <c r="W607" s="15"/>
      <c r="X607" s="121"/>
      <c r="Z607" s="15"/>
      <c r="AA607" s="233"/>
      <c r="AC607" s="234"/>
      <c r="AE607" s="233"/>
      <c r="AF607" s="275"/>
      <c r="AH607" s="233"/>
      <c r="AI607" s="15"/>
      <c r="AJ607" s="15"/>
      <c r="AK607" s="121"/>
      <c r="AM607" s="15"/>
      <c r="AN607" s="15"/>
      <c r="AP607" s="133"/>
      <c r="AR607" s="15"/>
      <c r="AS607" s="15"/>
      <c r="AU607" s="233"/>
      <c r="AV607" s="15"/>
      <c r="AW607" s="15"/>
      <c r="AX607" s="121"/>
      <c r="AZ607" s="15"/>
      <c r="BA607" s="15"/>
      <c r="BC607" s="133"/>
      <c r="BE607" s="15"/>
      <c r="BF607" s="15"/>
      <c r="BH607" s="15"/>
      <c r="BI607" s="15"/>
      <c r="BJ607" s="15"/>
      <c r="BK607" s="121"/>
      <c r="BM607" s="15"/>
      <c r="BN607" s="15"/>
      <c r="BP607" s="234"/>
      <c r="BR607" s="15"/>
      <c r="BS607" s="233"/>
      <c r="BU607" s="15"/>
      <c r="BV607" s="529"/>
      <c r="BW607" s="574"/>
      <c r="BX607" s="575"/>
      <c r="BY607" s="573"/>
      <c r="BZ607" s="574"/>
      <c r="CA607" s="574"/>
      <c r="CB607" s="573"/>
      <c r="CC607" s="761"/>
      <c r="CD607" s="573"/>
      <c r="CE607" s="574"/>
      <c r="CF607" s="574"/>
      <c r="CH607" s="812"/>
      <c r="CI607" s="812"/>
      <c r="CJ607" s="886"/>
      <c r="CK607" s="26"/>
      <c r="CO607" s="16"/>
    </row>
    <row r="608" spans="1:93" x14ac:dyDescent="0.3">
      <c r="A608" s="11">
        <v>430</v>
      </c>
      <c r="B608" s="3" t="s">
        <v>2</v>
      </c>
      <c r="C608" s="37">
        <v>43005</v>
      </c>
      <c r="D608" s="37">
        <v>52910</v>
      </c>
      <c r="E608" s="49" t="s">
        <v>118</v>
      </c>
      <c r="F608" s="3" t="s">
        <v>2</v>
      </c>
      <c r="G608" s="3" t="s">
        <v>434</v>
      </c>
      <c r="H608" s="26">
        <v>405213</v>
      </c>
      <c r="I608" s="244"/>
      <c r="J608" s="16">
        <f>H608+I608</f>
        <v>405213</v>
      </c>
      <c r="K608" s="122">
        <f>IF(H608=0," ",(J608-H608)/H608)</f>
        <v>0</v>
      </c>
      <c r="M608" s="117">
        <v>405213</v>
      </c>
      <c r="N608" s="117">
        <v>405213</v>
      </c>
      <c r="P608" s="259" t="s">
        <v>546</v>
      </c>
      <c r="R608" s="26">
        <v>405213</v>
      </c>
      <c r="S608" s="26">
        <v>405213</v>
      </c>
      <c r="U608" s="26">
        <v>405213</v>
      </c>
      <c r="V608" s="249">
        <v>0</v>
      </c>
      <c r="W608" s="16">
        <f>U608+V608</f>
        <v>405213</v>
      </c>
      <c r="X608" s="122">
        <f>IF(U608=0," ",(W608-U608)/U608)</f>
        <v>0</v>
      </c>
      <c r="Z608" s="117">
        <v>405213</v>
      </c>
      <c r="AA608" s="117">
        <f>405213+20112</f>
        <v>425325</v>
      </c>
      <c r="AC608" s="259" t="s">
        <v>744</v>
      </c>
      <c r="AE608" s="26">
        <f>405213+20112</f>
        <v>425325</v>
      </c>
      <c r="AF608" s="200">
        <v>425325</v>
      </c>
      <c r="AH608" s="26">
        <v>425325</v>
      </c>
      <c r="AI608" s="249"/>
      <c r="AJ608" s="16">
        <f>AH608+AI608</f>
        <v>425325</v>
      </c>
      <c r="AK608" s="122">
        <f>IF(AH608=0," ",(AJ608-AH608)/AH608)</f>
        <v>0</v>
      </c>
      <c r="AM608" s="117">
        <v>425325</v>
      </c>
      <c r="AN608" s="117">
        <v>425325</v>
      </c>
      <c r="AO608" s="178"/>
      <c r="AP608" s="266"/>
      <c r="AR608" s="26">
        <v>425325</v>
      </c>
      <c r="AS608" s="26">
        <v>425325</v>
      </c>
      <c r="AU608" s="26">
        <f>AR608</f>
        <v>425325</v>
      </c>
      <c r="AV608" s="249"/>
      <c r="AW608" s="16">
        <f>AU608+AV608</f>
        <v>425325</v>
      </c>
      <c r="AX608" s="122">
        <f>IF(AU608=0," ",(AW608-AU608)/AU608)</f>
        <v>0</v>
      </c>
      <c r="AZ608" s="117">
        <v>425325</v>
      </c>
      <c r="BA608" s="117">
        <v>425325</v>
      </c>
      <c r="BB608" s="178"/>
      <c r="BC608" s="266"/>
      <c r="BE608" s="26">
        <v>425325</v>
      </c>
      <c r="BF608" s="26">
        <v>425325</v>
      </c>
      <c r="BH608" s="26">
        <v>425325</v>
      </c>
      <c r="BI608" s="249"/>
      <c r="BJ608" s="16">
        <f>BH608+BI608</f>
        <v>425325</v>
      </c>
      <c r="BK608" s="122">
        <f>IF(BH608=0," ",(BJ608-BH608)/BH608)</f>
        <v>0</v>
      </c>
      <c r="BM608" s="117">
        <v>425325</v>
      </c>
      <c r="BN608" s="117">
        <v>425325</v>
      </c>
      <c r="BO608" s="178"/>
      <c r="BP608" s="259" t="s">
        <v>1134</v>
      </c>
      <c r="BR608" s="117">
        <v>425325</v>
      </c>
      <c r="BS608" s="26">
        <v>212662.5</v>
      </c>
      <c r="BU608" s="26">
        <v>425325</v>
      </c>
      <c r="BV608" s="249"/>
      <c r="BW608" s="576">
        <f>BU608+BV608</f>
        <v>425325</v>
      </c>
      <c r="BX608" s="577">
        <f>IF(BU608=0," ",(BW608-BU608)/BU608)</f>
        <v>0</v>
      </c>
      <c r="BZ608" s="166">
        <v>425325</v>
      </c>
      <c r="CA608" s="166">
        <v>425325</v>
      </c>
      <c r="CC608" s="753" t="s">
        <v>1134</v>
      </c>
      <c r="CE608" s="166">
        <v>425325</v>
      </c>
      <c r="CF608" s="166"/>
      <c r="CO608" s="16"/>
    </row>
    <row r="609" spans="1:93" x14ac:dyDescent="0.3">
      <c r="A609" s="11">
        <v>430</v>
      </c>
      <c r="B609" s="3" t="s">
        <v>2</v>
      </c>
      <c r="C609" s="37">
        <v>43005</v>
      </c>
      <c r="D609" s="37">
        <v>52940</v>
      </c>
      <c r="E609" s="49" t="s">
        <v>118</v>
      </c>
      <c r="F609" s="3" t="s">
        <v>2</v>
      </c>
      <c r="G609" s="3" t="s">
        <v>1374</v>
      </c>
      <c r="H609" s="26">
        <v>4500</v>
      </c>
      <c r="I609" s="244">
        <v>90</v>
      </c>
      <c r="J609" s="16">
        <f>H609+I609</f>
        <v>4590</v>
      </c>
      <c r="K609" s="122">
        <f>IF(H609=0," ",(J609-H609)/H609)</f>
        <v>0.02</v>
      </c>
      <c r="M609" s="117">
        <v>4590</v>
      </c>
      <c r="N609" s="117">
        <v>4590</v>
      </c>
      <c r="P609" s="259"/>
      <c r="R609" s="26">
        <v>4590</v>
      </c>
      <c r="S609" s="26">
        <v>3216</v>
      </c>
      <c r="U609" s="26">
        <v>4590</v>
      </c>
      <c r="V609" s="244">
        <v>0</v>
      </c>
      <c r="W609" s="16">
        <f>U609+V609</f>
        <v>4590</v>
      </c>
      <c r="X609" s="122">
        <f>IF(U609=0," ",(W609-U609)/U609)</f>
        <v>0</v>
      </c>
      <c r="Z609" s="117">
        <v>4590</v>
      </c>
      <c r="AA609" s="117">
        <v>4590</v>
      </c>
      <c r="AC609" s="259"/>
      <c r="AE609" s="26">
        <v>4590</v>
      </c>
      <c r="AF609" s="200">
        <v>2847</v>
      </c>
      <c r="AH609" s="26">
        <v>4590</v>
      </c>
      <c r="AI609" s="244"/>
      <c r="AJ609" s="16">
        <f>AH609+AI609</f>
        <v>4590</v>
      </c>
      <c r="AK609" s="122">
        <f>IF(AH609=0," ",(AJ609-AH609)/AH609)</f>
        <v>0</v>
      </c>
      <c r="AM609" s="117">
        <v>4590</v>
      </c>
      <c r="AN609" s="117">
        <v>4590</v>
      </c>
      <c r="AP609" s="259"/>
      <c r="AR609" s="26">
        <v>4590</v>
      </c>
      <c r="AS609" s="26">
        <v>3587</v>
      </c>
      <c r="AU609" s="26">
        <f>AR609</f>
        <v>4590</v>
      </c>
      <c r="AV609" s="244"/>
      <c r="AW609" s="16">
        <f>AU609+AV609</f>
        <v>4590</v>
      </c>
      <c r="AX609" s="122">
        <f>IF(AU609=0," ",(AW609-AU609)/AU609)</f>
        <v>0</v>
      </c>
      <c r="AZ609" s="117">
        <v>4590</v>
      </c>
      <c r="BA609" s="117">
        <v>4590</v>
      </c>
      <c r="BC609" s="259"/>
      <c r="BE609" s="26">
        <v>4590</v>
      </c>
      <c r="BF609" s="26">
        <v>3071.5</v>
      </c>
      <c r="BH609" s="26">
        <v>4590</v>
      </c>
      <c r="BI609" s="244"/>
      <c r="BJ609" s="16">
        <f>BH609+BI609</f>
        <v>4590</v>
      </c>
      <c r="BK609" s="122">
        <f>IF(BH609=0," ",(BJ609-BH609)/BH609)</f>
        <v>0</v>
      </c>
      <c r="BM609" s="117">
        <v>4590</v>
      </c>
      <c r="BN609" s="117">
        <v>4590</v>
      </c>
      <c r="BP609" s="259"/>
      <c r="BR609" s="117">
        <v>4590</v>
      </c>
      <c r="BS609" s="26">
        <v>2697.24</v>
      </c>
      <c r="BU609" s="26">
        <v>4590</v>
      </c>
      <c r="BV609" s="244">
        <v>-1000</v>
      </c>
      <c r="BW609" s="576">
        <f>BU609+BV609</f>
        <v>3590</v>
      </c>
      <c r="BX609" s="577">
        <f>IF(BU609=0," ",(BW609-BU609)/BU609)</f>
        <v>-0.2178649237472767</v>
      </c>
      <c r="BZ609" s="166">
        <v>3590</v>
      </c>
      <c r="CA609" s="166">
        <v>3590</v>
      </c>
      <c r="CC609" s="753"/>
      <c r="CE609" s="166">
        <v>3590</v>
      </c>
      <c r="CF609" s="166"/>
      <c r="CO609" s="16"/>
    </row>
    <row r="610" spans="1:93" s="19" customFormat="1" x14ac:dyDescent="0.3">
      <c r="A610" s="27"/>
      <c r="B610" s="8"/>
      <c r="C610" s="42"/>
      <c r="D610" s="42"/>
      <c r="E610" s="54"/>
      <c r="F610" s="8"/>
      <c r="G610" s="57" t="str">
        <f>A607</f>
        <v>REFUSE EXPENSE</v>
      </c>
      <c r="H610" s="28">
        <f t="shared" ref="H610" si="295">SUM(H608:H609)</f>
        <v>409713</v>
      </c>
      <c r="I610" s="28">
        <f>SUM(I608:I609)</f>
        <v>90</v>
      </c>
      <c r="J610" s="28">
        <f>SUM(J608:J609)</f>
        <v>409803</v>
      </c>
      <c r="K610" s="123">
        <f>IF(H610=0," ",(J610-H610)/H610)</f>
        <v>2.1966596129485762E-4</v>
      </c>
      <c r="M610" s="28">
        <f>SUM(M608:M609)</f>
        <v>409803</v>
      </c>
      <c r="N610" s="28">
        <f>SUM(N608:N609)</f>
        <v>409803</v>
      </c>
      <c r="P610" s="139">
        <f>SUM(P608:P609)</f>
        <v>0</v>
      </c>
      <c r="R610" s="28">
        <f>SUM(R608:R609)</f>
        <v>409803</v>
      </c>
      <c r="S610" s="28">
        <f>SUM(S608:S609)</f>
        <v>408429</v>
      </c>
      <c r="U610" s="28">
        <f>SUM(U608:U609)</f>
        <v>409803</v>
      </c>
      <c r="V610" s="28">
        <f>SUM(V608:V609)</f>
        <v>0</v>
      </c>
      <c r="W610" s="28">
        <f>SUM(W608:W609)</f>
        <v>409803</v>
      </c>
      <c r="X610" s="123">
        <f>IF(U610=0," ",(W610-U610)/U610)</f>
        <v>0</v>
      </c>
      <c r="Z610" s="28">
        <f>SUM(Z608:Z609)</f>
        <v>409803</v>
      </c>
      <c r="AA610" s="28">
        <f>SUM(AA608:AA609)</f>
        <v>429915</v>
      </c>
      <c r="AC610" s="139"/>
      <c r="AE610" s="28">
        <f>SUM(AE608:AE609)</f>
        <v>429915</v>
      </c>
      <c r="AF610" s="201">
        <f>SUM(AF608:AF609)</f>
        <v>428172</v>
      </c>
      <c r="AH610" s="28">
        <v>429915</v>
      </c>
      <c r="AI610" s="28">
        <f>SUM(AI608:AI609)</f>
        <v>0</v>
      </c>
      <c r="AJ610" s="28">
        <f>SUM(AJ608:AJ609)</f>
        <v>429915</v>
      </c>
      <c r="AK610" s="123">
        <f>IF(AH610=0," ",(AJ610-AH610)/AH610)</f>
        <v>0</v>
      </c>
      <c r="AM610" s="28">
        <f>SUM(AM608:AM609)</f>
        <v>429915</v>
      </c>
      <c r="AN610" s="28">
        <f>SUM(AN608:AN609)</f>
        <v>429915</v>
      </c>
      <c r="AP610" s="139"/>
      <c r="AR610" s="28">
        <f>SUM(AR608:AR609)</f>
        <v>429915</v>
      </c>
      <c r="AS610" s="28">
        <f>SUM(AS608:AS609)</f>
        <v>428912</v>
      </c>
      <c r="AU610" s="28">
        <f>SUM(AU608:AU609)</f>
        <v>429915</v>
      </c>
      <c r="AV610" s="28">
        <f>SUM(AV608:AV609)</f>
        <v>0</v>
      </c>
      <c r="AW610" s="28">
        <f>SUM(AW608:AW609)</f>
        <v>429915</v>
      </c>
      <c r="AX610" s="123">
        <f>IF(AU610=0," ",(AW610-AU610)/AU610)</f>
        <v>0</v>
      </c>
      <c r="AZ610" s="28">
        <f>SUM(AZ608:AZ609)</f>
        <v>429915</v>
      </c>
      <c r="BA610" s="28">
        <f>SUM(BA608:BA609)</f>
        <v>429915</v>
      </c>
      <c r="BC610" s="139"/>
      <c r="BE610" s="28">
        <f>SUM(BE608:BE609)</f>
        <v>429915</v>
      </c>
      <c r="BF610" s="28">
        <f>SUM(BF608:BF609)</f>
        <v>428396.5</v>
      </c>
      <c r="BG610" s="9"/>
      <c r="BH610" s="28">
        <f>SUM(BH608:BH609)</f>
        <v>429915</v>
      </c>
      <c r="BI610" s="28">
        <f>SUM(BI608:BI609)</f>
        <v>0</v>
      </c>
      <c r="BJ610" s="28">
        <f>SUM(BJ608:BJ609)</f>
        <v>429915</v>
      </c>
      <c r="BK610" s="123">
        <f>IF(BH610=0," ",(BJ610-BH610)/BH610)</f>
        <v>0</v>
      </c>
      <c r="BM610" s="28">
        <f>SUM(BM608:BM609)</f>
        <v>429915</v>
      </c>
      <c r="BN610" s="28">
        <f>SUM(BN608:BN609)</f>
        <v>429915</v>
      </c>
      <c r="BP610" s="139"/>
      <c r="BR610" s="28">
        <f>SUM(BR608:BR609)</f>
        <v>429915</v>
      </c>
      <c r="BS610" s="28">
        <f>SUM(BS608:BS609)</f>
        <v>215359.74</v>
      </c>
      <c r="BT610" s="9"/>
      <c r="BU610" s="28">
        <f>SUM(BU608:BU609)</f>
        <v>429915</v>
      </c>
      <c r="BV610" s="532">
        <f>SUM(BV608:BV609)</f>
        <v>-1000</v>
      </c>
      <c r="BW610" s="591">
        <f>SUM(BW608:BW609)</f>
        <v>428915</v>
      </c>
      <c r="BX610" s="579">
        <f>IF(BU610=0," ",(BW610-BU610)/BU610)</f>
        <v>-2.326041194189549E-3</v>
      </c>
      <c r="BY610" s="580"/>
      <c r="BZ610" s="591">
        <f>SUM(BZ608:BZ609)</f>
        <v>428915</v>
      </c>
      <c r="CA610" s="591">
        <f>SUM(CA608:CA609)</f>
        <v>428915</v>
      </c>
      <c r="CB610" s="580"/>
      <c r="CC610" s="769"/>
      <c r="CD610" s="580"/>
      <c r="CE610" s="591">
        <f>SUM(CE608:CE609)</f>
        <v>428915</v>
      </c>
      <c r="CF610" s="591">
        <f>SUM(CF608:CF609)</f>
        <v>0</v>
      </c>
      <c r="CG610" s="9"/>
      <c r="CH610" s="815"/>
      <c r="CI610" s="815"/>
      <c r="CJ610" s="887"/>
      <c r="CO610" s="16"/>
    </row>
    <row r="611" spans="1:93" ht="9.9" customHeight="1" x14ac:dyDescent="0.3">
      <c r="AS611" s="16"/>
      <c r="CO611" s="16"/>
    </row>
    <row r="612" spans="1:93" s="1" customFormat="1" x14ac:dyDescent="0.3">
      <c r="A612" s="20"/>
      <c r="B612" s="5"/>
      <c r="C612" s="39"/>
      <c r="D612" s="39"/>
      <c r="E612" s="51"/>
      <c r="F612" s="5"/>
      <c r="G612" s="21" t="s">
        <v>511</v>
      </c>
      <c r="H612" s="22">
        <f t="shared" ref="H612" si="296">H610</f>
        <v>409713</v>
      </c>
      <c r="I612" s="22">
        <f>I610</f>
        <v>90</v>
      </c>
      <c r="J612" s="22">
        <f>J610</f>
        <v>409803</v>
      </c>
      <c r="K612" s="124">
        <f>IF(H612=0," ",(J612-H612)/H612)</f>
        <v>2.1966596129485762E-4</v>
      </c>
      <c r="M612" s="22">
        <f>M610</f>
        <v>409803</v>
      </c>
      <c r="N612" s="22">
        <f>N610</f>
        <v>409803</v>
      </c>
      <c r="P612" s="136">
        <f>P610</f>
        <v>0</v>
      </c>
      <c r="R612" s="22">
        <f>R610</f>
        <v>409803</v>
      </c>
      <c r="S612" s="22">
        <f>S610</f>
        <v>408429</v>
      </c>
      <c r="U612" s="22">
        <f>U610</f>
        <v>409803</v>
      </c>
      <c r="V612" s="22">
        <f>V610</f>
        <v>0</v>
      </c>
      <c r="W612" s="22">
        <f>W610</f>
        <v>409803</v>
      </c>
      <c r="X612" s="124">
        <f>IF(U612=0," ",(W612-U612)/U612)</f>
        <v>0</v>
      </c>
      <c r="Z612" s="22">
        <f>Z610</f>
        <v>409803</v>
      </c>
      <c r="AA612" s="22">
        <f>AA610</f>
        <v>429915</v>
      </c>
      <c r="AC612" s="136"/>
      <c r="AE612" s="22">
        <f>AE610</f>
        <v>429915</v>
      </c>
      <c r="AF612" s="199">
        <f>AF610</f>
        <v>428172</v>
      </c>
      <c r="AH612" s="22">
        <v>429915</v>
      </c>
      <c r="AI612" s="22">
        <f>AI610</f>
        <v>0</v>
      </c>
      <c r="AJ612" s="22">
        <f>AJ610</f>
        <v>429915</v>
      </c>
      <c r="AK612" s="124">
        <f>IF(AH612=0," ",(AJ612-AH612)/AH612)</f>
        <v>0</v>
      </c>
      <c r="AM612" s="22">
        <f>AM610</f>
        <v>429915</v>
      </c>
      <c r="AN612" s="22">
        <f>AN610</f>
        <v>429915</v>
      </c>
      <c r="AP612" s="136"/>
      <c r="AR612" s="22">
        <f>AR610</f>
        <v>429915</v>
      </c>
      <c r="AS612" s="22">
        <f>AS610</f>
        <v>428912</v>
      </c>
      <c r="AU612" s="22">
        <f>AU610</f>
        <v>429915</v>
      </c>
      <c r="AV612" s="22">
        <f>AV610</f>
        <v>0</v>
      </c>
      <c r="AW612" s="22">
        <f>AW610</f>
        <v>429915</v>
      </c>
      <c r="AX612" s="124">
        <f>IF(AU612=0," ",(AW612-AU612)/AU612)</f>
        <v>0</v>
      </c>
      <c r="AZ612" s="22">
        <f>AZ610</f>
        <v>429915</v>
      </c>
      <c r="BA612" s="22">
        <f>BA610</f>
        <v>429915</v>
      </c>
      <c r="BC612" s="136"/>
      <c r="BE612" s="22">
        <f>BE610</f>
        <v>429915</v>
      </c>
      <c r="BF612" s="22">
        <f>BF610</f>
        <v>428396.5</v>
      </c>
      <c r="BH612" s="22">
        <f>BH610</f>
        <v>429915</v>
      </c>
      <c r="BI612" s="22">
        <f>BI610</f>
        <v>0</v>
      </c>
      <c r="BJ612" s="22">
        <f>BJ610</f>
        <v>429915</v>
      </c>
      <c r="BK612" s="124">
        <f>IF(BH612=0," ",(BJ612-BH612)/BH612)</f>
        <v>0</v>
      </c>
      <c r="BM612" s="22">
        <f>BM610</f>
        <v>429915</v>
      </c>
      <c r="BN612" s="22">
        <f>BN610</f>
        <v>429915</v>
      </c>
      <c r="BP612" s="136"/>
      <c r="BR612" s="22">
        <f>BR610</f>
        <v>429915</v>
      </c>
      <c r="BS612" s="22">
        <f>BS610</f>
        <v>215359.74</v>
      </c>
      <c r="BU612" s="22">
        <f>BU610</f>
        <v>429915</v>
      </c>
      <c r="BV612" s="531">
        <f>BV610</f>
        <v>-1000</v>
      </c>
      <c r="BW612" s="581">
        <f>BW610</f>
        <v>428915</v>
      </c>
      <c r="BX612" s="582">
        <f>IF(BU612=0," ",(BW612-BU612)/BU612)</f>
        <v>-2.326041194189549E-3</v>
      </c>
      <c r="BY612" s="573"/>
      <c r="BZ612" s="581">
        <f>BZ610</f>
        <v>428915</v>
      </c>
      <c r="CA612" s="581">
        <f>CA610</f>
        <v>428915</v>
      </c>
      <c r="CB612" s="573"/>
      <c r="CC612" s="764"/>
      <c r="CD612" s="573"/>
      <c r="CE612" s="581">
        <f>CE610</f>
        <v>428915</v>
      </c>
      <c r="CF612" s="581">
        <f>CF610</f>
        <v>0</v>
      </c>
      <c r="CH612" s="812"/>
      <c r="CI612" s="812"/>
      <c r="CJ612" s="886"/>
      <c r="CO612" s="16"/>
    </row>
    <row r="613" spans="1:93" ht="20.100000000000001" customHeight="1" x14ac:dyDescent="0.3">
      <c r="AS613" s="16"/>
      <c r="CO613" s="16"/>
    </row>
    <row r="614" spans="1:93" s="1" customFormat="1" ht="15.6" x14ac:dyDescent="0.3">
      <c r="A614" s="14" t="s">
        <v>510</v>
      </c>
      <c r="B614" s="2"/>
      <c r="C614" s="36"/>
      <c r="D614" s="36"/>
      <c r="E614" s="48"/>
      <c r="F614" s="2"/>
      <c r="G614" s="2"/>
      <c r="H614" s="15"/>
      <c r="I614" s="15"/>
      <c r="J614" s="15"/>
      <c r="K614" s="121"/>
      <c r="M614" s="15"/>
      <c r="N614" s="15"/>
      <c r="P614" s="133"/>
      <c r="R614" s="15"/>
      <c r="S614" s="15"/>
      <c r="U614" s="15"/>
      <c r="V614" s="15"/>
      <c r="W614" s="15"/>
      <c r="X614" s="121"/>
      <c r="Z614" s="15"/>
      <c r="AA614" s="15"/>
      <c r="AC614" s="133"/>
      <c r="AE614" s="15"/>
      <c r="AF614" s="196"/>
      <c r="AH614" s="15"/>
      <c r="AI614" s="15"/>
      <c r="AJ614" s="15"/>
      <c r="AK614" s="121"/>
      <c r="AM614" s="15"/>
      <c r="AN614" s="15"/>
      <c r="AP614" s="133"/>
      <c r="AR614" s="15"/>
      <c r="AS614" s="15"/>
      <c r="AU614" s="15"/>
      <c r="AV614" s="15"/>
      <c r="AW614" s="15"/>
      <c r="AX614" s="121"/>
      <c r="AZ614" s="15"/>
      <c r="BA614" s="15"/>
      <c r="BC614" s="133"/>
      <c r="BE614" s="15"/>
      <c r="BF614" s="15"/>
      <c r="BH614" s="15"/>
      <c r="BI614" s="15"/>
      <c r="BJ614" s="15"/>
      <c r="BK614" s="121"/>
      <c r="BM614" s="15"/>
      <c r="BN614" s="15"/>
      <c r="BP614" s="234"/>
      <c r="BR614" s="15"/>
      <c r="BS614" s="15"/>
      <c r="BU614" s="15"/>
      <c r="BV614" s="529"/>
      <c r="BW614" s="574"/>
      <c r="BX614" s="575"/>
      <c r="BY614" s="573"/>
      <c r="BZ614" s="574"/>
      <c r="CA614" s="574"/>
      <c r="CB614" s="573"/>
      <c r="CC614" s="761"/>
      <c r="CD614" s="573"/>
      <c r="CE614" s="574"/>
      <c r="CF614" s="574"/>
      <c r="CH614" s="812"/>
      <c r="CI614" s="812"/>
      <c r="CJ614" s="886"/>
      <c r="CO614" s="16"/>
    </row>
    <row r="615" spans="1:93" x14ac:dyDescent="0.3">
      <c r="A615" s="11">
        <v>433</v>
      </c>
      <c r="B615" s="3" t="s">
        <v>2</v>
      </c>
      <c r="C615" s="37">
        <v>43305</v>
      </c>
      <c r="D615" s="37">
        <v>53430</v>
      </c>
      <c r="E615" s="49" t="s">
        <v>118</v>
      </c>
      <c r="F615" s="3" t="s">
        <v>2</v>
      </c>
      <c r="G615" s="3" t="s">
        <v>435</v>
      </c>
      <c r="H615" s="26">
        <v>450</v>
      </c>
      <c r="I615" s="244"/>
      <c r="J615" s="16">
        <f>H615+I615</f>
        <v>450</v>
      </c>
      <c r="K615" s="122">
        <f>IF(H615=0," ",(J615-H615)/H615)</f>
        <v>0</v>
      </c>
      <c r="M615" s="117">
        <v>450</v>
      </c>
      <c r="N615" s="117">
        <v>450</v>
      </c>
      <c r="P615" s="259"/>
      <c r="R615" s="26">
        <v>450</v>
      </c>
      <c r="S615" s="26">
        <v>150</v>
      </c>
      <c r="U615" s="26">
        <v>450</v>
      </c>
      <c r="V615" s="244">
        <v>0</v>
      </c>
      <c r="W615" s="16">
        <f>U615+V615</f>
        <v>450</v>
      </c>
      <c r="X615" s="122">
        <f>IF(U615=0," ",(W615-U615)/U615)</f>
        <v>0</v>
      </c>
      <c r="Z615" s="117">
        <v>450</v>
      </c>
      <c r="AA615" s="117">
        <v>450</v>
      </c>
      <c r="AC615" s="259"/>
      <c r="AE615" s="26">
        <v>450</v>
      </c>
      <c r="AF615" s="200">
        <v>0</v>
      </c>
      <c r="AH615" s="26">
        <v>450</v>
      </c>
      <c r="AI615" s="244"/>
      <c r="AJ615" s="16">
        <f>AH615+AI615</f>
        <v>450</v>
      </c>
      <c r="AK615" s="122">
        <f>IF(AH615=0," ",(AJ615-AH615)/AH615)</f>
        <v>0</v>
      </c>
      <c r="AM615" s="117">
        <v>450</v>
      </c>
      <c r="AN615" s="117">
        <v>450</v>
      </c>
      <c r="AP615" s="259"/>
      <c r="AR615" s="26">
        <v>450</v>
      </c>
      <c r="AS615" s="26">
        <v>36.200000000000003</v>
      </c>
      <c r="AU615" s="26">
        <f>AR615</f>
        <v>450</v>
      </c>
      <c r="AV615" s="244"/>
      <c r="AW615" s="16">
        <f>AU615+AV615</f>
        <v>450</v>
      </c>
      <c r="AX615" s="122">
        <f>IF(AU615=0," ",(AW615-AU615)/AU615)</f>
        <v>0</v>
      </c>
      <c r="AZ615" s="117">
        <v>450</v>
      </c>
      <c r="BA615" s="117">
        <v>450</v>
      </c>
      <c r="BC615" s="259"/>
      <c r="BE615" s="26">
        <v>450</v>
      </c>
      <c r="BF615" s="26">
        <v>94.48</v>
      </c>
      <c r="BH615" s="26">
        <v>450</v>
      </c>
      <c r="BI615" s="244"/>
      <c r="BJ615" s="16">
        <f>BH615+BI615</f>
        <v>450</v>
      </c>
      <c r="BK615" s="122">
        <f>IF(BH615=0," ",(BJ615-BH615)/BH615)</f>
        <v>0</v>
      </c>
      <c r="BM615" s="117">
        <v>450</v>
      </c>
      <c r="BN615" s="117">
        <v>450</v>
      </c>
      <c r="BP615" s="259"/>
      <c r="BR615" s="117">
        <v>450</v>
      </c>
      <c r="BS615" s="26">
        <v>27.07</v>
      </c>
      <c r="BU615" s="26">
        <v>450</v>
      </c>
      <c r="BV615" s="244"/>
      <c r="BW615" s="576">
        <f>BU615+BV615</f>
        <v>450</v>
      </c>
      <c r="BX615" s="577">
        <f>IF(BU615=0," ",(BW615-BU615)/BU615)</f>
        <v>0</v>
      </c>
      <c r="BZ615" s="166">
        <v>450</v>
      </c>
      <c r="CA615" s="166">
        <v>450</v>
      </c>
      <c r="CC615" s="753"/>
      <c r="CE615" s="166">
        <v>450</v>
      </c>
      <c r="CF615" s="166"/>
      <c r="CO615" s="16"/>
    </row>
    <row r="616" spans="1:93" x14ac:dyDescent="0.3">
      <c r="A616" s="11">
        <v>433</v>
      </c>
      <c r="B616" s="3" t="s">
        <v>2</v>
      </c>
      <c r="C616" s="37">
        <v>43305</v>
      </c>
      <c r="D616" s="37">
        <v>53450</v>
      </c>
      <c r="E616" s="49" t="s">
        <v>118</v>
      </c>
      <c r="F616" s="3" t="s">
        <v>2</v>
      </c>
      <c r="G616" s="3" t="s">
        <v>436</v>
      </c>
      <c r="H616" s="26">
        <v>1200</v>
      </c>
      <c r="I616" s="244"/>
      <c r="J616" s="16">
        <f>H616+I616</f>
        <v>1200</v>
      </c>
      <c r="K616" s="122">
        <f>IF(H616=0," ",(J616-H616)/H616)</f>
        <v>0</v>
      </c>
      <c r="M616" s="117">
        <v>1200</v>
      </c>
      <c r="N616" s="117">
        <v>1200</v>
      </c>
      <c r="P616" s="259"/>
      <c r="R616" s="26">
        <v>1200</v>
      </c>
      <c r="S616" s="26">
        <v>1497.42</v>
      </c>
      <c r="U616" s="26">
        <v>1200</v>
      </c>
      <c r="V616" s="244">
        <v>0</v>
      </c>
      <c r="W616" s="16">
        <f>U616+V616</f>
        <v>1200</v>
      </c>
      <c r="X616" s="122">
        <f>IF(U616=0," ",(W616-U616)/U616)</f>
        <v>0</v>
      </c>
      <c r="Z616" s="117">
        <v>1200</v>
      </c>
      <c r="AA616" s="117">
        <v>1200</v>
      </c>
      <c r="AC616" s="259"/>
      <c r="AE616" s="26">
        <v>1200</v>
      </c>
      <c r="AF616" s="200">
        <v>1530.47</v>
      </c>
      <c r="AH616" s="26">
        <v>1200</v>
      </c>
      <c r="AI616" s="244"/>
      <c r="AJ616" s="16">
        <f>AH616+AI616</f>
        <v>1200</v>
      </c>
      <c r="AK616" s="122">
        <f>IF(AH616=0," ",(AJ616-AH616)/AH616)</f>
        <v>0</v>
      </c>
      <c r="AM616" s="117">
        <v>1200</v>
      </c>
      <c r="AN616" s="117">
        <v>1200</v>
      </c>
      <c r="AP616" s="259"/>
      <c r="AR616" s="26">
        <v>1200</v>
      </c>
      <c r="AS616" s="26">
        <v>1535.3</v>
      </c>
      <c r="AU616" s="26">
        <f>AR616</f>
        <v>1200</v>
      </c>
      <c r="AV616" s="244"/>
      <c r="AW616" s="16">
        <f>AU616+AV616</f>
        <v>1200</v>
      </c>
      <c r="AX616" s="122">
        <f>IF(AU616=0," ",(AW616-AU616)/AU616)</f>
        <v>0</v>
      </c>
      <c r="AZ616" s="117">
        <v>1200</v>
      </c>
      <c r="BA616" s="117">
        <v>1200</v>
      </c>
      <c r="BC616" s="259"/>
      <c r="BE616" s="26">
        <v>1200</v>
      </c>
      <c r="BF616" s="26">
        <v>1534.95</v>
      </c>
      <c r="BH616" s="26">
        <v>1200</v>
      </c>
      <c r="BI616" s="244"/>
      <c r="BJ616" s="16">
        <f>BH616+BI616</f>
        <v>1200</v>
      </c>
      <c r="BK616" s="122">
        <f>IF(BH616=0," ",(BJ616-BH616)/BH616)</f>
        <v>0</v>
      </c>
      <c r="BM616" s="117">
        <v>1200</v>
      </c>
      <c r="BN616" s="117">
        <v>1200</v>
      </c>
      <c r="BP616" s="259"/>
      <c r="BR616" s="117">
        <v>1200</v>
      </c>
      <c r="BS616" s="26"/>
      <c r="BU616" s="26">
        <v>1200</v>
      </c>
      <c r="BV616" s="244"/>
      <c r="BW616" s="576">
        <f>BU616+BV616</f>
        <v>1200</v>
      </c>
      <c r="BX616" s="577">
        <f>IF(BU616=0," ",(BW616-BU616)/BU616)</f>
        <v>0</v>
      </c>
      <c r="BZ616" s="166">
        <v>1200</v>
      </c>
      <c r="CA616" s="166">
        <v>1200</v>
      </c>
      <c r="CC616" s="753"/>
      <c r="CE616" s="166">
        <v>1200</v>
      </c>
      <c r="CF616" s="166"/>
      <c r="CO616" s="16"/>
    </row>
    <row r="617" spans="1:93" s="19" customFormat="1" x14ac:dyDescent="0.3">
      <c r="A617" s="27"/>
      <c r="B617" s="8"/>
      <c r="C617" s="42"/>
      <c r="D617" s="42"/>
      <c r="E617" s="54"/>
      <c r="F617" s="8"/>
      <c r="G617" s="57" t="str">
        <f>A614</f>
        <v>RECYCLING  EXPENSE</v>
      </c>
      <c r="H617" s="28">
        <f>SUM(H615:H616)</f>
        <v>1650</v>
      </c>
      <c r="I617" s="28">
        <f>SUM(I615:I616)</f>
        <v>0</v>
      </c>
      <c r="J617" s="28">
        <f>SUM(J615:J616)</f>
        <v>1650</v>
      </c>
      <c r="K617" s="123">
        <f>IF(H617=0," ",(J617-H617)/H617)</f>
        <v>0</v>
      </c>
      <c r="M617" s="28">
        <f>SUM(M615:M616)</f>
        <v>1650</v>
      </c>
      <c r="N617" s="28">
        <f>SUM(N615:N616)</f>
        <v>1650</v>
      </c>
      <c r="P617" s="139">
        <f>SUM(P615:P616)</f>
        <v>0</v>
      </c>
      <c r="R617" s="28">
        <f>SUM(R615:R616)</f>
        <v>1650</v>
      </c>
      <c r="S617" s="28">
        <f>SUM(S615:S616)</f>
        <v>1647.42</v>
      </c>
      <c r="U617" s="28">
        <f>SUM(U615:U616)</f>
        <v>1650</v>
      </c>
      <c r="V617" s="28">
        <f>SUM(V615:V616)</f>
        <v>0</v>
      </c>
      <c r="W617" s="28">
        <f>SUM(W615:W616)</f>
        <v>1650</v>
      </c>
      <c r="X617" s="123">
        <f>IF(U617=0," ",(W617-U617)/U617)</f>
        <v>0</v>
      </c>
      <c r="Z617" s="28">
        <f>SUM(Z615:Z616)</f>
        <v>1650</v>
      </c>
      <c r="AA617" s="28">
        <f>SUM(AA615:AA616)</f>
        <v>1650</v>
      </c>
      <c r="AC617" s="139"/>
      <c r="AE617" s="28">
        <f>SUM(AE615:AE616)</f>
        <v>1650</v>
      </c>
      <c r="AF617" s="201">
        <f>SUM(AF615:AF616)</f>
        <v>1530.47</v>
      </c>
      <c r="AH617" s="28">
        <v>1650</v>
      </c>
      <c r="AI617" s="28">
        <f>SUM(AI615:AI616)</f>
        <v>0</v>
      </c>
      <c r="AJ617" s="28">
        <f>SUM(AJ615:AJ616)</f>
        <v>1650</v>
      </c>
      <c r="AK617" s="123">
        <f>IF(AH617=0," ",(AJ617-AH617)/AH617)</f>
        <v>0</v>
      </c>
      <c r="AM617" s="28">
        <f>SUM(AM615:AM616)</f>
        <v>1650</v>
      </c>
      <c r="AN617" s="28">
        <f>SUM(AN615:AN616)</f>
        <v>1650</v>
      </c>
      <c r="AP617" s="139"/>
      <c r="AR617" s="28">
        <f>SUM(AR615:AR616)</f>
        <v>1650</v>
      </c>
      <c r="AS617" s="28">
        <f>SUM(AS615:AS616)</f>
        <v>1571.5</v>
      </c>
      <c r="AU617" s="28">
        <f>SUM(AU615:AU616)</f>
        <v>1650</v>
      </c>
      <c r="AV617" s="28">
        <f>SUM(AV615:AV616)</f>
        <v>0</v>
      </c>
      <c r="AW617" s="28">
        <f>SUM(AW615:AW616)</f>
        <v>1650</v>
      </c>
      <c r="AX617" s="123">
        <f>IF(AU617=0," ",(AW617-AU617)/AU617)</f>
        <v>0</v>
      </c>
      <c r="AZ617" s="28">
        <f>SUM(AZ615:AZ616)</f>
        <v>1650</v>
      </c>
      <c r="BA617" s="28">
        <f>SUM(BA615:BA616)</f>
        <v>1650</v>
      </c>
      <c r="BC617" s="139"/>
      <c r="BE617" s="28">
        <f>SUM(BE615:BE616)</f>
        <v>1650</v>
      </c>
      <c r="BF617" s="28">
        <f>SUM(BF615:BF616)</f>
        <v>1629.43</v>
      </c>
      <c r="BG617" s="9"/>
      <c r="BH617" s="28">
        <f>SUM(BH615:BH616)</f>
        <v>1650</v>
      </c>
      <c r="BI617" s="28">
        <f>SUM(BI615:BI616)</f>
        <v>0</v>
      </c>
      <c r="BJ617" s="28">
        <f>SUM(BJ615:BJ616)</f>
        <v>1650</v>
      </c>
      <c r="BK617" s="123">
        <f>IF(BH617=0," ",(BJ617-BH617)/BH617)</f>
        <v>0</v>
      </c>
      <c r="BM617" s="28">
        <f>SUM(BM615:BM616)</f>
        <v>1650</v>
      </c>
      <c r="BN617" s="28">
        <f>SUM(BN615:BN616)</f>
        <v>1650</v>
      </c>
      <c r="BP617" s="139"/>
      <c r="BR617" s="28">
        <f>SUM(BR615:BR616)</f>
        <v>1650</v>
      </c>
      <c r="BS617" s="28">
        <f>SUM(BS615:BS616)</f>
        <v>27.07</v>
      </c>
      <c r="BT617" s="9"/>
      <c r="BU617" s="28">
        <f>SUM(BU615:BU616)</f>
        <v>1650</v>
      </c>
      <c r="BV617" s="532">
        <f>SUM(BV615:BV616)</f>
        <v>0</v>
      </c>
      <c r="BW617" s="591">
        <f>SUM(BW615:BW616)</f>
        <v>1650</v>
      </c>
      <c r="BX617" s="579">
        <f>IF(BU617=0," ",(BW617-BU617)/BU617)</f>
        <v>0</v>
      </c>
      <c r="BY617" s="580"/>
      <c r="BZ617" s="591">
        <f>SUM(BZ615:BZ616)</f>
        <v>1650</v>
      </c>
      <c r="CA617" s="591">
        <f>SUM(CA615:CA616)</f>
        <v>1650</v>
      </c>
      <c r="CB617" s="580"/>
      <c r="CC617" s="769"/>
      <c r="CD617" s="580"/>
      <c r="CE617" s="591">
        <f>SUM(CE615:CE616)</f>
        <v>1650</v>
      </c>
      <c r="CF617" s="591">
        <f>SUM(CF615:CF616)</f>
        <v>0</v>
      </c>
      <c r="CG617" s="9"/>
      <c r="CH617" s="815"/>
      <c r="CI617" s="815"/>
      <c r="CJ617" s="887"/>
      <c r="CO617" s="16"/>
    </row>
    <row r="618" spans="1:93" ht="9.9" customHeight="1" x14ac:dyDescent="0.3">
      <c r="AS618" s="16"/>
      <c r="CO618" s="16"/>
    </row>
    <row r="619" spans="1:93" s="1" customFormat="1" x14ac:dyDescent="0.3">
      <c r="A619" s="20"/>
      <c r="B619" s="5"/>
      <c r="C619" s="39"/>
      <c r="D619" s="39"/>
      <c r="E619" s="51"/>
      <c r="F619" s="5"/>
      <c r="G619" s="21" t="s">
        <v>512</v>
      </c>
      <c r="H619" s="22">
        <f t="shared" ref="H619" si="297">H617</f>
        <v>1650</v>
      </c>
      <c r="I619" s="22">
        <f>I617</f>
        <v>0</v>
      </c>
      <c r="J619" s="22">
        <f>J617</f>
        <v>1650</v>
      </c>
      <c r="K619" s="124">
        <f>IF(H619=0," ",(J619-H619)/H619)</f>
        <v>0</v>
      </c>
      <c r="M619" s="22">
        <f>M617</f>
        <v>1650</v>
      </c>
      <c r="N619" s="22">
        <f>N617</f>
        <v>1650</v>
      </c>
      <c r="P619" s="136">
        <f>P617</f>
        <v>0</v>
      </c>
      <c r="R619" s="22">
        <f>R617</f>
        <v>1650</v>
      </c>
      <c r="S619" s="22">
        <f>S617</f>
        <v>1647.42</v>
      </c>
      <c r="U619" s="22">
        <f>U617</f>
        <v>1650</v>
      </c>
      <c r="V619" s="22">
        <f>V617</f>
        <v>0</v>
      </c>
      <c r="W619" s="22">
        <f>W617</f>
        <v>1650</v>
      </c>
      <c r="X619" s="124">
        <f>IF(U619=0," ",(W619-U619)/U619)</f>
        <v>0</v>
      </c>
      <c r="Z619" s="22">
        <f>Z617</f>
        <v>1650</v>
      </c>
      <c r="AA619" s="22">
        <f>AA617</f>
        <v>1650</v>
      </c>
      <c r="AC619" s="136"/>
      <c r="AE619" s="22">
        <f>AE617</f>
        <v>1650</v>
      </c>
      <c r="AF619" s="199">
        <f>AF617</f>
        <v>1530.47</v>
      </c>
      <c r="AH619" s="22">
        <v>1650</v>
      </c>
      <c r="AI619" s="22">
        <f>AI617</f>
        <v>0</v>
      </c>
      <c r="AJ619" s="22">
        <f>AJ617</f>
        <v>1650</v>
      </c>
      <c r="AK619" s="124">
        <f>IF(AH619=0," ",(AJ619-AH619)/AH619)</f>
        <v>0</v>
      </c>
      <c r="AM619" s="22">
        <f>AM617</f>
        <v>1650</v>
      </c>
      <c r="AN619" s="22">
        <f>AN617</f>
        <v>1650</v>
      </c>
      <c r="AP619" s="136"/>
      <c r="AR619" s="22">
        <f>AR617</f>
        <v>1650</v>
      </c>
      <c r="AS619" s="22">
        <f>AS617</f>
        <v>1571.5</v>
      </c>
      <c r="AU619" s="22">
        <f>AU617</f>
        <v>1650</v>
      </c>
      <c r="AV619" s="22">
        <f>AV617</f>
        <v>0</v>
      </c>
      <c r="AW619" s="22">
        <f>AW617</f>
        <v>1650</v>
      </c>
      <c r="AX619" s="124">
        <f>IF(AU619=0," ",(AW619-AU619)/AU619)</f>
        <v>0</v>
      </c>
      <c r="AZ619" s="22">
        <f>AZ617</f>
        <v>1650</v>
      </c>
      <c r="BA619" s="22">
        <f>BA617</f>
        <v>1650</v>
      </c>
      <c r="BC619" s="136"/>
      <c r="BE619" s="22">
        <f>BE617</f>
        <v>1650</v>
      </c>
      <c r="BF619" s="22">
        <f>BF617</f>
        <v>1629.43</v>
      </c>
      <c r="BH619" s="22">
        <f>BH617</f>
        <v>1650</v>
      </c>
      <c r="BI619" s="22">
        <f>BI617</f>
        <v>0</v>
      </c>
      <c r="BJ619" s="22">
        <f>BJ617</f>
        <v>1650</v>
      </c>
      <c r="BK619" s="124">
        <f>IF(BH619=0," ",(BJ619-BH619)/BH619)</f>
        <v>0</v>
      </c>
      <c r="BM619" s="22">
        <f>BM617</f>
        <v>1650</v>
      </c>
      <c r="BN619" s="22">
        <f>BN617</f>
        <v>1650</v>
      </c>
      <c r="BP619" s="136"/>
      <c r="BR619" s="22">
        <f>BR617</f>
        <v>1650</v>
      </c>
      <c r="BS619" s="22">
        <f>BS617</f>
        <v>27.07</v>
      </c>
      <c r="BU619" s="22">
        <f>BU617</f>
        <v>1650</v>
      </c>
      <c r="BV619" s="531">
        <f>BV617</f>
        <v>0</v>
      </c>
      <c r="BW619" s="581">
        <f>BW617</f>
        <v>1650</v>
      </c>
      <c r="BX619" s="582">
        <f>IF(BU619=0," ",(BW619-BU619)/BU619)</f>
        <v>0</v>
      </c>
      <c r="BY619" s="573"/>
      <c r="BZ619" s="581">
        <f>BZ617</f>
        <v>1650</v>
      </c>
      <c r="CA619" s="581">
        <f>CA617</f>
        <v>1650</v>
      </c>
      <c r="CB619" s="573"/>
      <c r="CC619" s="764"/>
      <c r="CD619" s="573"/>
      <c r="CE619" s="581">
        <f>CE617</f>
        <v>1650</v>
      </c>
      <c r="CF619" s="581">
        <f>CF617</f>
        <v>0</v>
      </c>
      <c r="CH619" s="812"/>
      <c r="CI619" s="812"/>
      <c r="CJ619" s="886"/>
      <c r="CO619" s="16"/>
    </row>
    <row r="620" spans="1:93" ht="20.100000000000001" customHeight="1" x14ac:dyDescent="0.3">
      <c r="AS620" s="16"/>
      <c r="CO620" s="16"/>
    </row>
    <row r="621" spans="1:93" s="1" customFormat="1" ht="15.6" x14ac:dyDescent="0.3">
      <c r="A621" s="14" t="s">
        <v>1137</v>
      </c>
      <c r="B621" s="2"/>
      <c r="C621" s="36"/>
      <c r="D621" s="36"/>
      <c r="E621" s="48"/>
      <c r="F621" s="2"/>
      <c r="G621" s="2"/>
      <c r="H621" s="15"/>
      <c r="I621" s="15"/>
      <c r="J621" s="15"/>
      <c r="K621" s="121"/>
      <c r="M621" s="15"/>
      <c r="N621" s="15"/>
      <c r="P621" s="133"/>
      <c r="R621" s="15"/>
      <c r="S621" s="15"/>
      <c r="U621" s="15"/>
      <c r="V621" s="15"/>
      <c r="W621" s="15"/>
      <c r="X621" s="121"/>
      <c r="Z621" s="15"/>
      <c r="AA621" s="15"/>
      <c r="AC621" s="133"/>
      <c r="AE621" s="15"/>
      <c r="AF621" s="196"/>
      <c r="AH621" s="15"/>
      <c r="AI621" s="15"/>
      <c r="AJ621" s="15"/>
      <c r="AK621" s="121"/>
      <c r="AM621" s="15"/>
      <c r="AN621" s="15"/>
      <c r="AP621" s="133"/>
      <c r="AR621" s="15"/>
      <c r="AS621" s="15"/>
      <c r="AU621" s="15"/>
      <c r="AV621" s="15"/>
      <c r="AW621" s="15"/>
      <c r="AX621" s="121"/>
      <c r="AZ621" s="15"/>
      <c r="BA621" s="15"/>
      <c r="BC621" s="133"/>
      <c r="BE621" s="15"/>
      <c r="BF621" s="15"/>
      <c r="BH621" s="15"/>
      <c r="BI621" s="15"/>
      <c r="BJ621" s="15"/>
      <c r="BK621" s="121"/>
      <c r="BM621" s="15"/>
      <c r="BN621" s="15"/>
      <c r="BP621" s="234"/>
      <c r="BR621" s="15"/>
      <c r="BS621" s="15"/>
      <c r="BU621" s="15"/>
      <c r="BV621" s="529"/>
      <c r="BW621" s="574"/>
      <c r="BX621" s="575"/>
      <c r="BY621" s="573"/>
      <c r="BZ621" s="574"/>
      <c r="CA621" s="574"/>
      <c r="CB621" s="573"/>
      <c r="CC621" s="761"/>
      <c r="CD621" s="573"/>
      <c r="CE621" s="574"/>
      <c r="CF621" s="574"/>
      <c r="CH621" s="812"/>
      <c r="CI621" s="812"/>
      <c r="CJ621" s="886"/>
      <c r="CO621" s="16"/>
    </row>
    <row r="622" spans="1:93" x14ac:dyDescent="0.3">
      <c r="A622" s="11">
        <v>492</v>
      </c>
      <c r="B622" s="3" t="s">
        <v>2</v>
      </c>
      <c r="C622" s="37">
        <v>49201</v>
      </c>
      <c r="D622" s="37">
        <v>51120</v>
      </c>
      <c r="E622" s="49" t="s">
        <v>119</v>
      </c>
      <c r="F622" s="3" t="s">
        <v>2</v>
      </c>
      <c r="G622" s="3" t="s">
        <v>257</v>
      </c>
      <c r="H622" s="26">
        <v>81036</v>
      </c>
      <c r="I622" s="244">
        <v>3484</v>
      </c>
      <c r="J622" s="16">
        <f>H622+I622</f>
        <v>84520</v>
      </c>
      <c r="K622" s="122">
        <f>IF(H622=0," ",(J622-H622)/H622)</f>
        <v>4.2993237573424159E-2</v>
      </c>
      <c r="M622" s="117">
        <v>84520</v>
      </c>
      <c r="N622" s="117">
        <v>84520</v>
      </c>
      <c r="P622" s="259"/>
      <c r="R622" s="26">
        <v>84520</v>
      </c>
      <c r="S622" s="26">
        <v>82347.199999999997</v>
      </c>
      <c r="U622" s="26">
        <v>84520</v>
      </c>
      <c r="V622" s="244">
        <v>1780</v>
      </c>
      <c r="W622" s="16">
        <f>U622+V622</f>
        <v>86300</v>
      </c>
      <c r="X622" s="122">
        <f>IF(U622=0," ",(W622-U622)/U622)</f>
        <v>2.106010411736867E-2</v>
      </c>
      <c r="Z622" s="117">
        <v>86300</v>
      </c>
      <c r="AA622" s="117">
        <v>86300</v>
      </c>
      <c r="AC622" s="259" t="s">
        <v>665</v>
      </c>
      <c r="AE622" s="26">
        <v>86300</v>
      </c>
      <c r="AF622" s="200">
        <v>86299.199999999997</v>
      </c>
      <c r="AH622" s="26">
        <v>86300</v>
      </c>
      <c r="AI622" s="244">
        <v>4835</v>
      </c>
      <c r="AJ622" s="16">
        <f>AH622+AI622</f>
        <v>91135</v>
      </c>
      <c r="AK622" s="122">
        <f>IF(AH622=0," ",(AJ622-AH622)/AH622)</f>
        <v>5.6025492468134416E-2</v>
      </c>
      <c r="AM622" s="117">
        <v>91135</v>
      </c>
      <c r="AN622" s="117">
        <v>91135</v>
      </c>
      <c r="AP622" s="259" t="s">
        <v>836</v>
      </c>
      <c r="AR622" s="26">
        <v>91135</v>
      </c>
      <c r="AS622" s="26">
        <v>91134.080000000002</v>
      </c>
      <c r="AU622" s="26">
        <f>AR622</f>
        <v>91135</v>
      </c>
      <c r="AV622" s="253">
        <v>4016</v>
      </c>
      <c r="AW622" s="16">
        <f>AU622+AV622</f>
        <v>95151</v>
      </c>
      <c r="AX622" s="122">
        <f>IF(AU622=0," ",(AW622-AU622)/AU622)</f>
        <v>4.406649476052011E-2</v>
      </c>
      <c r="AZ622" s="117">
        <v>94775</v>
      </c>
      <c r="BA622" s="117">
        <v>93292</v>
      </c>
      <c r="BC622" s="259" t="s">
        <v>973</v>
      </c>
      <c r="BE622" s="26">
        <v>93292</v>
      </c>
      <c r="BF622" s="26">
        <v>50776.28</v>
      </c>
      <c r="BH622" s="26">
        <v>93292</v>
      </c>
      <c r="BI622" s="253">
        <v>-49853</v>
      </c>
      <c r="BJ622" s="16">
        <f>BH622+BI622</f>
        <v>43439</v>
      </c>
      <c r="BK622" s="122">
        <f>IF(BH622=0," ",(BJ622-BH622)/BH622)</f>
        <v>-0.53437593791536253</v>
      </c>
      <c r="BM622" s="117">
        <v>43439</v>
      </c>
      <c r="BN622" s="117">
        <v>43439</v>
      </c>
      <c r="BP622" s="428" t="s">
        <v>1305</v>
      </c>
      <c r="BR622" s="117">
        <v>43439</v>
      </c>
      <c r="BS622" s="26">
        <v>19433.04</v>
      </c>
      <c r="BU622" s="26">
        <v>43439</v>
      </c>
      <c r="BV622" s="244">
        <v>869</v>
      </c>
      <c r="BW622" s="576">
        <f>BU622+BV622</f>
        <v>44308</v>
      </c>
      <c r="BX622" s="577">
        <f>IF(BU622=0," ",(BW622-BU622)/BU622)</f>
        <v>2.0005064573309698E-2</v>
      </c>
      <c r="BZ622" s="166">
        <v>44308</v>
      </c>
      <c r="CA622" s="166">
        <v>44308</v>
      </c>
      <c r="CC622" s="765" t="s">
        <v>1277</v>
      </c>
      <c r="CE622" s="166">
        <v>44308</v>
      </c>
      <c r="CF622" s="166"/>
      <c r="CO622" s="16"/>
    </row>
    <row r="623" spans="1:93" x14ac:dyDescent="0.3">
      <c r="A623" s="11">
        <v>492</v>
      </c>
      <c r="B623" s="3" t="s">
        <v>2</v>
      </c>
      <c r="C623" s="37">
        <v>49201</v>
      </c>
      <c r="D623" s="37">
        <v>51490</v>
      </c>
      <c r="E623" s="49" t="s">
        <v>119</v>
      </c>
      <c r="F623" s="3" t="s">
        <v>2</v>
      </c>
      <c r="G623" s="3" t="s">
        <v>258</v>
      </c>
      <c r="H623" s="26">
        <v>1750</v>
      </c>
      <c r="I623" s="245"/>
      <c r="J623" s="16">
        <f>H623+I623</f>
        <v>1750</v>
      </c>
      <c r="K623" s="122">
        <f>IF(H623=0," ",(J623-H623)/H623)</f>
        <v>0</v>
      </c>
      <c r="M623" s="118">
        <v>1750</v>
      </c>
      <c r="N623" s="118">
        <v>1750</v>
      </c>
      <c r="P623" s="137"/>
      <c r="R623" s="144">
        <v>1750</v>
      </c>
      <c r="S623" s="144">
        <v>1750</v>
      </c>
      <c r="U623" s="144">
        <v>1750</v>
      </c>
      <c r="V623" s="245"/>
      <c r="W623" s="16">
        <f>U623+V623</f>
        <v>1750</v>
      </c>
      <c r="X623" s="122">
        <f>IF(U623=0," ",(W623-U623)/U623)</f>
        <v>0</v>
      </c>
      <c r="Z623" s="118">
        <v>1750</v>
      </c>
      <c r="AA623" s="118">
        <v>1750</v>
      </c>
      <c r="AC623" s="137"/>
      <c r="AE623" s="144">
        <v>1750</v>
      </c>
      <c r="AF623" s="271">
        <v>1750</v>
      </c>
      <c r="AH623" s="144">
        <v>1750</v>
      </c>
      <c r="AI623" s="245"/>
      <c r="AJ623" s="16">
        <f>AH623+AI623</f>
        <v>1750</v>
      </c>
      <c r="AK623" s="122">
        <f>IF(AH623=0," ",(AJ623-AH623)/AH623)</f>
        <v>0</v>
      </c>
      <c r="AM623" s="117">
        <v>1750</v>
      </c>
      <c r="AN623" s="117">
        <v>1750</v>
      </c>
      <c r="AP623" s="137"/>
      <c r="AR623" s="26">
        <v>1750</v>
      </c>
      <c r="AS623" s="26">
        <v>1750</v>
      </c>
      <c r="AU623" s="26">
        <f>AR623</f>
        <v>1750</v>
      </c>
      <c r="AV623" s="245"/>
      <c r="AW623" s="16">
        <f>AU623+AV623</f>
        <v>1750</v>
      </c>
      <c r="AX623" s="122">
        <f>IF(AU623=0," ",(AW623-AU623)/AU623)</f>
        <v>0</v>
      </c>
      <c r="AZ623" s="117">
        <v>1750</v>
      </c>
      <c r="BA623" s="117">
        <v>1750</v>
      </c>
      <c r="BC623" s="137"/>
      <c r="BE623" s="26">
        <v>1750</v>
      </c>
      <c r="BF623" s="26">
        <v>1750</v>
      </c>
      <c r="BH623" s="26">
        <v>1750</v>
      </c>
      <c r="BI623" s="245">
        <v>-1750</v>
      </c>
      <c r="BJ623" s="16">
        <f>BH623+BI623</f>
        <v>0</v>
      </c>
      <c r="BK623" s="122">
        <f>IF(BH623=0," ",(BJ623-BH623)/BH623)</f>
        <v>-1</v>
      </c>
      <c r="BM623" s="117">
        <v>0</v>
      </c>
      <c r="BN623" s="117">
        <v>0</v>
      </c>
      <c r="BP623" s="137"/>
      <c r="BR623" s="117">
        <v>0</v>
      </c>
      <c r="BS623" s="144"/>
      <c r="BU623" s="26">
        <v>0</v>
      </c>
      <c r="BV623" s="245">
        <v>400</v>
      </c>
      <c r="BW623" s="576">
        <f>BU623+BV623</f>
        <v>400</v>
      </c>
      <c r="BX623" s="577" t="str">
        <f>IF(BU623=0," ",(BW623-BU623)/BU623)</f>
        <v xml:space="preserve"> </v>
      </c>
      <c r="BZ623" s="166">
        <v>400</v>
      </c>
      <c r="CA623" s="166">
        <v>400</v>
      </c>
      <c r="CC623" s="767" t="s">
        <v>1471</v>
      </c>
      <c r="CE623" s="166">
        <v>400</v>
      </c>
      <c r="CF623" s="166"/>
      <c r="CO623" s="16"/>
    </row>
    <row r="624" spans="1:93" x14ac:dyDescent="0.3">
      <c r="A624" s="12"/>
      <c r="H624" s="145">
        <f t="shared" ref="H624" si="298">SUM(H622:H623)</f>
        <v>82786</v>
      </c>
      <c r="I624" s="32">
        <f>SUM(I622:I623)</f>
        <v>3484</v>
      </c>
      <c r="J624" s="32">
        <f>SUM(J622:J623)</f>
        <v>86270</v>
      </c>
      <c r="K624" s="128">
        <f>IF(H624=0," ",(J624-H624)/H624)</f>
        <v>4.2084410407556831E-2</v>
      </c>
      <c r="M624" s="32">
        <f>SUM(M622:M623)</f>
        <v>86270</v>
      </c>
      <c r="N624" s="32">
        <f>SUM(N622:N623)</f>
        <v>86270</v>
      </c>
      <c r="P624" s="141">
        <f>SUM(P622:P623)</f>
        <v>0</v>
      </c>
      <c r="R624" s="145">
        <f>SUM(R622:R623)</f>
        <v>86270</v>
      </c>
      <c r="S624" s="32">
        <f>SUM(S622:S623)</f>
        <v>84097.2</v>
      </c>
      <c r="U624" s="32">
        <f>SUM(U622:U623)</f>
        <v>86270</v>
      </c>
      <c r="V624" s="32">
        <f>SUM(V622:V623)</f>
        <v>1780</v>
      </c>
      <c r="W624" s="32">
        <f>SUM(W622:W623)</f>
        <v>88050</v>
      </c>
      <c r="X624" s="128">
        <f>IF(U624=0," ",(W624-U624)/U624)</f>
        <v>2.0632896719601251E-2</v>
      </c>
      <c r="Z624" s="32">
        <f>SUM(Z622:Z623)</f>
        <v>88050</v>
      </c>
      <c r="AA624" s="32">
        <f>SUM(AA622:AA623)</f>
        <v>88050</v>
      </c>
      <c r="AC624" s="141"/>
      <c r="AE624" s="32">
        <f>SUM(AE622:AE623)</f>
        <v>88050</v>
      </c>
      <c r="AF624" s="274">
        <f>SUM(AF622:AF623)</f>
        <v>88049.2</v>
      </c>
      <c r="AH624" s="145">
        <v>88050</v>
      </c>
      <c r="AI624" s="32">
        <f>SUM(AI622:AI623)</f>
        <v>4835</v>
      </c>
      <c r="AJ624" s="32">
        <f>SUM(AJ622:AJ623)</f>
        <v>92885</v>
      </c>
      <c r="AK624" s="128">
        <f>IF(AH624=0," ",(AJ624-AH624)/AH624)</f>
        <v>5.4911981828506533E-2</v>
      </c>
      <c r="AM624" s="32">
        <f>SUM(AM622:AM623)</f>
        <v>92885</v>
      </c>
      <c r="AN624" s="32">
        <f>SUM(AN622:AN623)</f>
        <v>92885</v>
      </c>
      <c r="AP624" s="141"/>
      <c r="AR624" s="145">
        <f>SUM(AR622:AR623)</f>
        <v>92885</v>
      </c>
      <c r="AS624" s="145">
        <f>SUM(AS622:AS623)</f>
        <v>92884.08</v>
      </c>
      <c r="AU624" s="145">
        <f>SUM(AU622:AU623)</f>
        <v>92885</v>
      </c>
      <c r="AV624" s="32">
        <f>SUM(AV622:AV623)</f>
        <v>4016</v>
      </c>
      <c r="AW624" s="32">
        <f>SUM(AW622:AW623)</f>
        <v>96901</v>
      </c>
      <c r="AX624" s="128">
        <f>IF(AU624=0," ",(AW624-AU624)/AU624)</f>
        <v>4.3236259891263389E-2</v>
      </c>
      <c r="AZ624" s="32">
        <f>SUM(AZ622:AZ623)</f>
        <v>96525</v>
      </c>
      <c r="BA624" s="32">
        <f>SUM(BA622:BA623)</f>
        <v>95042</v>
      </c>
      <c r="BC624" s="141"/>
      <c r="BE624" s="145">
        <f>SUM(BE622:BE623)</f>
        <v>95042</v>
      </c>
      <c r="BF624" s="145">
        <f>SUM(BF622:BF623)</f>
        <v>52526.28</v>
      </c>
      <c r="BH624" s="145">
        <f>SUM(BH622:BH623)</f>
        <v>95042</v>
      </c>
      <c r="BI624" s="32">
        <f>SUM(BI622:BI623)</f>
        <v>-51603</v>
      </c>
      <c r="BJ624" s="32">
        <f>SUM(BJ622:BJ623)</f>
        <v>43439</v>
      </c>
      <c r="BK624" s="128">
        <f>IF(BH624=0," ",(BJ624-BH624)/BH624)</f>
        <v>-0.54294943288230468</v>
      </c>
      <c r="BM624" s="145">
        <f>SUM(BM622:BM623)</f>
        <v>43439</v>
      </c>
      <c r="BN624" s="145">
        <f>SUM(BN622:BN623)</f>
        <v>43439</v>
      </c>
      <c r="BP624" s="141"/>
      <c r="BR624" s="145">
        <f>SUM(BR622:BR623)</f>
        <v>43439</v>
      </c>
      <c r="BS624" s="145">
        <f>SUM(BS622:BS623)</f>
        <v>19433.04</v>
      </c>
      <c r="BU624" s="145">
        <f>SUM(BU622:BU623)</f>
        <v>43439</v>
      </c>
      <c r="BV624" s="32">
        <f>SUM(BV622:BV623)</f>
        <v>1269</v>
      </c>
      <c r="BW624" s="595">
        <f>SUM(BW622:BW623)</f>
        <v>44708</v>
      </c>
      <c r="BX624" s="596">
        <f>IF(BU624=0," ",(BW624-BU624)/BU624)</f>
        <v>2.9213379681852714E-2</v>
      </c>
      <c r="BZ624" s="597">
        <f>SUM(BZ622:BZ623)</f>
        <v>44708</v>
      </c>
      <c r="CA624" s="597">
        <f>SUM(CA622:CA623)</f>
        <v>44708</v>
      </c>
      <c r="CC624" s="770"/>
      <c r="CE624" s="597">
        <f>SUM(CE622:CE623)</f>
        <v>44708</v>
      </c>
      <c r="CF624" s="597">
        <f>SUM(CF622:CF623)</f>
        <v>0</v>
      </c>
      <c r="CO624" s="16"/>
    </row>
    <row r="625" spans="1:93" x14ac:dyDescent="0.3">
      <c r="H625" s="26"/>
      <c r="R625" s="26"/>
      <c r="AF625" s="200"/>
      <c r="AH625" s="26"/>
      <c r="AR625" s="26"/>
      <c r="AS625" s="26"/>
      <c r="AU625" s="26"/>
      <c r="BE625" s="26"/>
      <c r="BF625" s="26"/>
      <c r="BH625" s="26"/>
      <c r="BM625" s="26"/>
      <c r="BN625" s="26"/>
      <c r="BR625" s="26"/>
      <c r="BS625" s="26"/>
      <c r="BU625" s="26"/>
      <c r="BZ625" s="589"/>
      <c r="CA625" s="589"/>
      <c r="CE625" s="589"/>
      <c r="CF625" s="589"/>
      <c r="CO625" s="16"/>
    </row>
    <row r="626" spans="1:93" x14ac:dyDescent="0.3">
      <c r="A626" s="11">
        <v>492</v>
      </c>
      <c r="B626" s="3" t="s">
        <v>2</v>
      </c>
      <c r="C626" s="37">
        <v>49202</v>
      </c>
      <c r="D626" s="37">
        <v>51130</v>
      </c>
      <c r="E626" s="49" t="s">
        <v>11</v>
      </c>
      <c r="F626" s="3" t="s">
        <v>2</v>
      </c>
      <c r="G626" s="3" t="s">
        <v>252</v>
      </c>
      <c r="H626" s="26">
        <v>48618</v>
      </c>
      <c r="I626" s="244"/>
      <c r="J626" s="16">
        <f t="shared" ref="J626:J631" si="299">H626+I626</f>
        <v>48618</v>
      </c>
      <c r="K626" s="122">
        <f t="shared" ref="K626:K631" si="300">IF(H626=0," ",(J626-H626)/H626)</f>
        <v>0</v>
      </c>
      <c r="M626" s="117">
        <v>48618</v>
      </c>
      <c r="N626" s="117">
        <v>48618</v>
      </c>
      <c r="P626" s="259"/>
      <c r="R626" s="26">
        <v>48618</v>
      </c>
      <c r="S626" s="26">
        <v>49616.61</v>
      </c>
      <c r="U626" s="26">
        <v>48618</v>
      </c>
      <c r="V626" s="244"/>
      <c r="W626" s="16">
        <f t="shared" ref="W626:W631" si="301">U626+V626</f>
        <v>48618</v>
      </c>
      <c r="X626" s="122">
        <f t="shared" ref="X626:X631" si="302">IF(U626=0," ",(W626-U626)/U626)</f>
        <v>0</v>
      </c>
      <c r="Z626" s="117">
        <v>48618</v>
      </c>
      <c r="AA626" s="117">
        <v>48618</v>
      </c>
      <c r="AC626" s="259"/>
      <c r="AE626" s="26">
        <v>48618</v>
      </c>
      <c r="AF626" s="200">
        <v>50917.89</v>
      </c>
      <c r="AH626" s="26">
        <v>48618</v>
      </c>
      <c r="AI626" s="244">
        <v>4253</v>
      </c>
      <c r="AJ626" s="16">
        <f t="shared" ref="AJ626:AJ631" si="303">AH626+AI626</f>
        <v>52871</v>
      </c>
      <c r="AK626" s="122">
        <f t="shared" ref="AK626:AK631" si="304">IF(AH626=0," ",(AJ626-AH626)/AH626)</f>
        <v>8.7477888847751858E-2</v>
      </c>
      <c r="AM626" s="117">
        <v>52871</v>
      </c>
      <c r="AN626" s="117">
        <v>52871</v>
      </c>
      <c r="AP626" s="259" t="s">
        <v>838</v>
      </c>
      <c r="AR626" s="26">
        <v>52871</v>
      </c>
      <c r="AS626" s="26">
        <v>54537.49</v>
      </c>
      <c r="AU626" s="26">
        <f t="shared" ref="AU626:AU633" si="305">AR626</f>
        <v>52871</v>
      </c>
      <c r="AV626" s="244">
        <v>-202</v>
      </c>
      <c r="AW626" s="16">
        <f t="shared" ref="AW626:AW631" si="306">AU626+AV626</f>
        <v>52669</v>
      </c>
      <c r="AX626" s="122">
        <f t="shared" ref="AX626:AX631" si="307">IF(AU626=0," ",(AW626-AU626)/AU626)</f>
        <v>-3.8206199996217208E-3</v>
      </c>
      <c r="AZ626" s="117">
        <v>52669</v>
      </c>
      <c r="BA626" s="117">
        <v>52669</v>
      </c>
      <c r="BC626" s="259" t="s">
        <v>1016</v>
      </c>
      <c r="BE626" s="26">
        <v>52669</v>
      </c>
      <c r="BF626" s="26">
        <v>52668.5</v>
      </c>
      <c r="BH626" s="26">
        <v>52669</v>
      </c>
      <c r="BI626" s="244"/>
      <c r="BJ626" s="16">
        <f t="shared" ref="BJ626:BJ631" si="308">BH626+BI626</f>
        <v>52669</v>
      </c>
      <c r="BK626" s="122">
        <f t="shared" ref="BK626:BK631" si="309">IF(BH626=0," ",(BJ626-BH626)/BH626)</f>
        <v>0</v>
      </c>
      <c r="BM626" s="117">
        <v>52669</v>
      </c>
      <c r="BN626" s="117">
        <v>52669</v>
      </c>
      <c r="BP626" s="259"/>
      <c r="BR626" s="117">
        <v>52669</v>
      </c>
      <c r="BS626" s="26">
        <v>24272.14</v>
      </c>
      <c r="BU626" s="26">
        <v>52669</v>
      </c>
      <c r="BV626" s="244">
        <v>2677</v>
      </c>
      <c r="BW626" s="576">
        <f t="shared" ref="BW626:BW631" si="310">BU626+BV626</f>
        <v>55346</v>
      </c>
      <c r="BX626" s="577">
        <f t="shared" ref="BX626:BX631" si="311">IF(BU626=0," ",(BW626-BU626)/BU626)</f>
        <v>5.0826862101046158E-2</v>
      </c>
      <c r="BZ626" s="166">
        <v>55346</v>
      </c>
      <c r="CA626" s="166">
        <v>55346</v>
      </c>
      <c r="CC626" s="753" t="s">
        <v>1443</v>
      </c>
      <c r="CE626" s="166">
        <v>55346</v>
      </c>
      <c r="CF626" s="166"/>
      <c r="CO626" s="16"/>
    </row>
    <row r="627" spans="1:93" x14ac:dyDescent="0.3">
      <c r="A627" s="11">
        <v>492</v>
      </c>
      <c r="B627" s="3" t="s">
        <v>2</v>
      </c>
      <c r="C627" s="37">
        <v>49202</v>
      </c>
      <c r="D627" s="37">
        <v>51131</v>
      </c>
      <c r="E627" s="49" t="s">
        <v>11</v>
      </c>
      <c r="F627" s="3" t="s">
        <v>2</v>
      </c>
      <c r="G627" s="3" t="s">
        <v>253</v>
      </c>
      <c r="H627" s="26">
        <v>42573</v>
      </c>
      <c r="I627" s="244"/>
      <c r="J627" s="16">
        <f t="shared" si="299"/>
        <v>42573</v>
      </c>
      <c r="K627" s="122">
        <f t="shared" si="300"/>
        <v>0</v>
      </c>
      <c r="M627" s="117">
        <v>42573</v>
      </c>
      <c r="N627" s="117">
        <v>42573</v>
      </c>
      <c r="P627" s="259"/>
      <c r="R627" s="26">
        <v>42573</v>
      </c>
      <c r="S627" s="26">
        <v>43474.3</v>
      </c>
      <c r="U627" s="26">
        <v>42573</v>
      </c>
      <c r="V627" s="244"/>
      <c r="W627" s="16">
        <f t="shared" si="301"/>
        <v>42573</v>
      </c>
      <c r="X627" s="122">
        <f t="shared" si="302"/>
        <v>0</v>
      </c>
      <c r="Z627" s="117">
        <v>42573</v>
      </c>
      <c r="AA627" s="117">
        <v>42573</v>
      </c>
      <c r="AC627" s="259"/>
      <c r="AE627" s="26">
        <v>42573</v>
      </c>
      <c r="AF627" s="200">
        <v>44653.440000000002</v>
      </c>
      <c r="AH627" s="26">
        <v>42573</v>
      </c>
      <c r="AI627" s="244">
        <v>3859</v>
      </c>
      <c r="AJ627" s="16">
        <f t="shared" si="303"/>
        <v>46432</v>
      </c>
      <c r="AK627" s="122">
        <f t="shared" si="304"/>
        <v>9.0644305075987128E-2</v>
      </c>
      <c r="AM627" s="117">
        <f>46432+40326</f>
        <v>86758</v>
      </c>
      <c r="AN627" s="117">
        <f>46432+40326</f>
        <v>86758</v>
      </c>
      <c r="AP627" s="259" t="s">
        <v>838</v>
      </c>
      <c r="AR627" s="26">
        <f>46432+40326</f>
        <v>86758</v>
      </c>
      <c r="AS627" s="26">
        <v>87787.1</v>
      </c>
      <c r="AU627" s="26">
        <f t="shared" si="305"/>
        <v>86758</v>
      </c>
      <c r="AV627" s="244">
        <v>5058</v>
      </c>
      <c r="AW627" s="16">
        <f t="shared" si="306"/>
        <v>91816</v>
      </c>
      <c r="AX627" s="122">
        <f t="shared" si="307"/>
        <v>5.8300099126305356E-2</v>
      </c>
      <c r="AZ627" s="117">
        <v>92509</v>
      </c>
      <c r="BA627" s="117">
        <v>92509</v>
      </c>
      <c r="BC627" s="259" t="s">
        <v>1017</v>
      </c>
      <c r="BE627" s="26">
        <v>92509</v>
      </c>
      <c r="BF627" s="26">
        <v>89768.08</v>
      </c>
      <c r="BH627" s="26">
        <v>92509</v>
      </c>
      <c r="BI627" s="244"/>
      <c r="BJ627" s="16">
        <f t="shared" si="308"/>
        <v>92509</v>
      </c>
      <c r="BK627" s="122">
        <f t="shared" si="309"/>
        <v>0</v>
      </c>
      <c r="BM627" s="117">
        <v>92509</v>
      </c>
      <c r="BN627" s="117">
        <v>92509</v>
      </c>
      <c r="BP627" s="259"/>
      <c r="BR627" s="117">
        <v>92509</v>
      </c>
      <c r="BS627" s="26">
        <v>42342.99</v>
      </c>
      <c r="BU627" s="26">
        <v>92509</v>
      </c>
      <c r="BV627" s="244">
        <f>97211-BU627</f>
        <v>4702</v>
      </c>
      <c r="BW627" s="576">
        <f t="shared" si="310"/>
        <v>97211</v>
      </c>
      <c r="BX627" s="577">
        <f t="shared" si="311"/>
        <v>5.0827487055313536E-2</v>
      </c>
      <c r="BZ627" s="166">
        <v>97211</v>
      </c>
      <c r="CA627" s="166">
        <v>97211</v>
      </c>
      <c r="CC627" s="753" t="s">
        <v>1604</v>
      </c>
      <c r="CE627" s="166">
        <v>97211</v>
      </c>
      <c r="CF627" s="166"/>
      <c r="CO627" s="16"/>
    </row>
    <row r="628" spans="1:93" x14ac:dyDescent="0.3">
      <c r="A628" s="11">
        <v>492</v>
      </c>
      <c r="B628" s="3" t="s">
        <v>2</v>
      </c>
      <c r="C628" s="37">
        <v>49202</v>
      </c>
      <c r="D628" s="37">
        <v>51140</v>
      </c>
      <c r="E628" s="49" t="s">
        <v>11</v>
      </c>
      <c r="F628" s="3" t="s">
        <v>2</v>
      </c>
      <c r="G628" s="3" t="s">
        <v>254</v>
      </c>
      <c r="H628" s="26">
        <v>38760</v>
      </c>
      <c r="I628" s="244">
        <v>775</v>
      </c>
      <c r="J628" s="16">
        <f t="shared" si="299"/>
        <v>39535</v>
      </c>
      <c r="K628" s="122">
        <f t="shared" si="300"/>
        <v>1.999484004127967E-2</v>
      </c>
      <c r="M628" s="117">
        <v>39535</v>
      </c>
      <c r="N628" s="117">
        <v>39535</v>
      </c>
      <c r="P628" s="259"/>
      <c r="R628" s="26">
        <v>39535</v>
      </c>
      <c r="S628" s="26">
        <v>38495.1</v>
      </c>
      <c r="U628" s="26">
        <v>39535</v>
      </c>
      <c r="V628" s="244">
        <v>791</v>
      </c>
      <c r="W628" s="16">
        <f t="shared" si="301"/>
        <v>40326</v>
      </c>
      <c r="X628" s="122">
        <f t="shared" si="302"/>
        <v>2.0007588212975845E-2</v>
      </c>
      <c r="Z628" s="117">
        <v>40326</v>
      </c>
      <c r="AA628" s="117">
        <v>40326</v>
      </c>
      <c r="AC628" s="259"/>
      <c r="AE628" s="26">
        <v>40326</v>
      </c>
      <c r="AF628" s="200">
        <v>33531.42</v>
      </c>
      <c r="AH628" s="26">
        <v>40326</v>
      </c>
      <c r="AI628" s="244"/>
      <c r="AJ628" s="16">
        <f t="shared" si="303"/>
        <v>40326</v>
      </c>
      <c r="AK628" s="122">
        <f t="shared" si="304"/>
        <v>0</v>
      </c>
      <c r="AM628" s="117"/>
      <c r="AN628" s="117"/>
      <c r="AP628" s="266" t="s">
        <v>839</v>
      </c>
      <c r="AR628" s="26">
        <v>0</v>
      </c>
      <c r="AS628" s="26">
        <v>0</v>
      </c>
      <c r="AU628" s="26">
        <f t="shared" si="305"/>
        <v>0</v>
      </c>
      <c r="AV628" s="244"/>
      <c r="AW628" s="16">
        <f t="shared" si="306"/>
        <v>0</v>
      </c>
      <c r="AX628" s="122" t="str">
        <f t="shared" si="307"/>
        <v xml:space="preserve"> </v>
      </c>
      <c r="AZ628" s="117">
        <v>0</v>
      </c>
      <c r="BA628" s="117">
        <v>0</v>
      </c>
      <c r="BC628" s="266"/>
      <c r="BE628" s="26">
        <v>0</v>
      </c>
      <c r="BF628" s="26">
        <v>0</v>
      </c>
      <c r="BH628" s="26">
        <v>0</v>
      </c>
      <c r="BI628" s="244"/>
      <c r="BJ628" s="16">
        <f t="shared" si="308"/>
        <v>0</v>
      </c>
      <c r="BK628" s="122" t="str">
        <f t="shared" si="309"/>
        <v xml:space="preserve"> </v>
      </c>
      <c r="BM628" s="117">
        <v>0</v>
      </c>
      <c r="BN628" s="117">
        <v>0</v>
      </c>
      <c r="BP628" s="259"/>
      <c r="BR628" s="117">
        <v>0</v>
      </c>
      <c r="BS628" s="26"/>
      <c r="BU628" s="26">
        <v>0</v>
      </c>
      <c r="BV628" s="244"/>
      <c r="BW628" s="576">
        <f t="shared" si="310"/>
        <v>0</v>
      </c>
      <c r="BX628" s="577" t="str">
        <f t="shared" si="311"/>
        <v xml:space="preserve"> </v>
      </c>
      <c r="BZ628" s="166">
        <v>0</v>
      </c>
      <c r="CA628" s="166">
        <v>0</v>
      </c>
      <c r="CC628" s="753"/>
      <c r="CE628" s="166">
        <v>0</v>
      </c>
      <c r="CF628" s="166"/>
      <c r="CO628" s="16"/>
    </row>
    <row r="629" spans="1:93" x14ac:dyDescent="0.3">
      <c r="A629" s="11">
        <v>492</v>
      </c>
      <c r="B629" s="3" t="s">
        <v>2</v>
      </c>
      <c r="C629" s="37">
        <v>49202</v>
      </c>
      <c r="D629" s="37">
        <v>51141</v>
      </c>
      <c r="E629" s="49" t="s">
        <v>11</v>
      </c>
      <c r="F629" s="3" t="s">
        <v>2</v>
      </c>
      <c r="G629" s="3" t="s">
        <v>1158</v>
      </c>
      <c r="H629" s="26">
        <v>11678</v>
      </c>
      <c r="I629" s="244">
        <v>516</v>
      </c>
      <c r="J629" s="16">
        <f t="shared" si="299"/>
        <v>12194</v>
      </c>
      <c r="K629" s="122">
        <f t="shared" si="300"/>
        <v>4.4185648227436203E-2</v>
      </c>
      <c r="M629" s="117">
        <v>12194</v>
      </c>
      <c r="N629" s="117">
        <v>12194</v>
      </c>
      <c r="P629" s="259"/>
      <c r="R629" s="26">
        <v>12194</v>
      </c>
      <c r="S629" s="26">
        <v>10910.12</v>
      </c>
      <c r="U629" s="26">
        <v>12194</v>
      </c>
      <c r="V629" s="244">
        <v>583</v>
      </c>
      <c r="W629" s="16">
        <f t="shared" si="301"/>
        <v>12777</v>
      </c>
      <c r="X629" s="122">
        <f t="shared" si="302"/>
        <v>4.7810398556667216E-2</v>
      </c>
      <c r="Z629" s="117">
        <v>12777</v>
      </c>
      <c r="AA629" s="117">
        <v>12777</v>
      </c>
      <c r="AC629" s="259" t="s">
        <v>650</v>
      </c>
      <c r="AE629" s="26">
        <v>12777</v>
      </c>
      <c r="AF629" s="200">
        <v>12285</v>
      </c>
      <c r="AH629" s="26">
        <v>12777</v>
      </c>
      <c r="AI629" s="244">
        <v>753</v>
      </c>
      <c r="AJ629" s="16">
        <f t="shared" si="303"/>
        <v>13530</v>
      </c>
      <c r="AK629" s="122">
        <f t="shared" si="304"/>
        <v>5.8934022070908663E-2</v>
      </c>
      <c r="AM629" s="117">
        <v>13530</v>
      </c>
      <c r="AN629" s="117">
        <v>13530</v>
      </c>
      <c r="AP629" s="259" t="s">
        <v>837</v>
      </c>
      <c r="AR629" s="26">
        <v>13530</v>
      </c>
      <c r="AS629" s="26">
        <v>13310.21</v>
      </c>
      <c r="AU629" s="26">
        <f t="shared" si="305"/>
        <v>13530</v>
      </c>
      <c r="AV629" s="253">
        <v>495</v>
      </c>
      <c r="AW629" s="16">
        <f t="shared" si="306"/>
        <v>14025</v>
      </c>
      <c r="AX629" s="122">
        <f t="shared" si="307"/>
        <v>3.6585365853658534E-2</v>
      </c>
      <c r="AZ629" s="117">
        <v>13968</v>
      </c>
      <c r="BA629" s="117">
        <v>13749</v>
      </c>
      <c r="BC629" s="259" t="s">
        <v>961</v>
      </c>
      <c r="BE629" s="26">
        <v>13749</v>
      </c>
      <c r="BF629" s="26">
        <v>20335.32</v>
      </c>
      <c r="BH629" s="26">
        <v>13749</v>
      </c>
      <c r="BI629" s="253">
        <v>13740</v>
      </c>
      <c r="BJ629" s="16">
        <f t="shared" si="308"/>
        <v>27489</v>
      </c>
      <c r="BK629" s="122">
        <f t="shared" si="309"/>
        <v>0.99934540693868645</v>
      </c>
      <c r="BM629" s="117">
        <v>27489</v>
      </c>
      <c r="BN629" s="117">
        <v>27489</v>
      </c>
      <c r="BP629" s="428" t="s">
        <v>1306</v>
      </c>
      <c r="BR629" s="117">
        <v>27489</v>
      </c>
      <c r="BS629" s="26">
        <v>12330.95</v>
      </c>
      <c r="BU629" s="26">
        <v>27489</v>
      </c>
      <c r="BV629" s="244">
        <v>432</v>
      </c>
      <c r="BW629" s="576">
        <f t="shared" si="310"/>
        <v>27921</v>
      </c>
      <c r="BX629" s="577">
        <f t="shared" si="311"/>
        <v>1.5715377059914874E-2</v>
      </c>
      <c r="BZ629" s="166">
        <v>27921</v>
      </c>
      <c r="CA629" s="166">
        <v>27921</v>
      </c>
      <c r="CC629" s="765" t="s">
        <v>1280</v>
      </c>
      <c r="CE629" s="166">
        <v>27921</v>
      </c>
      <c r="CF629" s="166"/>
      <c r="CO629" s="16"/>
    </row>
    <row r="630" spans="1:93" x14ac:dyDescent="0.3">
      <c r="A630" s="11">
        <v>492</v>
      </c>
      <c r="B630" s="3" t="s">
        <v>2</v>
      </c>
      <c r="C630" s="37">
        <v>49202</v>
      </c>
      <c r="D630" s="37">
        <v>51310</v>
      </c>
      <c r="E630" s="49" t="s">
        <v>11</v>
      </c>
      <c r="F630" s="3" t="s">
        <v>2</v>
      </c>
      <c r="G630" s="3" t="s">
        <v>255</v>
      </c>
      <c r="H630" s="26">
        <v>3595</v>
      </c>
      <c r="I630" s="244"/>
      <c r="J630" s="16">
        <f t="shared" si="299"/>
        <v>3595</v>
      </c>
      <c r="K630" s="122">
        <f t="shared" si="300"/>
        <v>0</v>
      </c>
      <c r="M630" s="117">
        <v>3595</v>
      </c>
      <c r="N630" s="117">
        <v>3595</v>
      </c>
      <c r="P630" s="259"/>
      <c r="R630" s="26">
        <v>3595</v>
      </c>
      <c r="S630" s="26">
        <v>2818.6</v>
      </c>
      <c r="U630" s="26">
        <v>3595</v>
      </c>
      <c r="V630" s="244"/>
      <c r="W630" s="16">
        <f t="shared" si="301"/>
        <v>3595</v>
      </c>
      <c r="X630" s="122">
        <f t="shared" si="302"/>
        <v>0</v>
      </c>
      <c r="Z630" s="117">
        <v>3595</v>
      </c>
      <c r="AA630" s="117">
        <v>3595</v>
      </c>
      <c r="AC630" s="259"/>
      <c r="AE630" s="26">
        <v>3595</v>
      </c>
      <c r="AF630" s="200">
        <v>3024.68</v>
      </c>
      <c r="AH630" s="26">
        <v>3595</v>
      </c>
      <c r="AI630" s="244"/>
      <c r="AJ630" s="16">
        <f t="shared" si="303"/>
        <v>3595</v>
      </c>
      <c r="AK630" s="122">
        <f t="shared" si="304"/>
        <v>0</v>
      </c>
      <c r="AM630" s="117">
        <v>3595</v>
      </c>
      <c r="AN630" s="117">
        <v>3595</v>
      </c>
      <c r="AP630" s="259"/>
      <c r="AR630" s="26">
        <v>3595</v>
      </c>
      <c r="AS630" s="26">
        <v>1298.99</v>
      </c>
      <c r="AU630" s="26">
        <f t="shared" si="305"/>
        <v>3595</v>
      </c>
      <c r="AV630" s="244"/>
      <c r="AW630" s="16">
        <f t="shared" si="306"/>
        <v>3595</v>
      </c>
      <c r="AX630" s="122">
        <f t="shared" si="307"/>
        <v>0</v>
      </c>
      <c r="AZ630" s="117">
        <v>3595</v>
      </c>
      <c r="BA630" s="117">
        <v>3595</v>
      </c>
      <c r="BC630" s="259"/>
      <c r="BE630" s="26">
        <v>3595</v>
      </c>
      <c r="BF630" s="26">
        <v>1406.85</v>
      </c>
      <c r="BH630" s="26">
        <v>3595</v>
      </c>
      <c r="BI630" s="244"/>
      <c r="BJ630" s="16">
        <f t="shared" si="308"/>
        <v>3595</v>
      </c>
      <c r="BK630" s="122">
        <f t="shared" si="309"/>
        <v>0</v>
      </c>
      <c r="BM630" s="117">
        <v>3595</v>
      </c>
      <c r="BN630" s="117">
        <v>3595</v>
      </c>
      <c r="BP630" s="259"/>
      <c r="BR630" s="117">
        <v>3595</v>
      </c>
      <c r="BS630" s="26">
        <v>1815.76</v>
      </c>
      <c r="BU630" s="26">
        <v>3595</v>
      </c>
      <c r="BV630" s="244">
        <v>54</v>
      </c>
      <c r="BW630" s="576">
        <f t="shared" si="310"/>
        <v>3649</v>
      </c>
      <c r="BX630" s="577">
        <f t="shared" si="311"/>
        <v>1.502086230876217E-2</v>
      </c>
      <c r="BZ630" s="166">
        <v>3649</v>
      </c>
      <c r="CA630" s="166">
        <v>3649</v>
      </c>
      <c r="CC630" s="753" t="s">
        <v>1443</v>
      </c>
      <c r="CE630" s="166">
        <v>3649</v>
      </c>
      <c r="CF630" s="166"/>
      <c r="CO630" s="16"/>
    </row>
    <row r="631" spans="1:93" s="7" customFormat="1" x14ac:dyDescent="0.3">
      <c r="A631" s="23">
        <v>492</v>
      </c>
      <c r="B631" s="7" t="s">
        <v>2</v>
      </c>
      <c r="C631" s="40">
        <v>49202</v>
      </c>
      <c r="D631" s="40">
        <v>51490</v>
      </c>
      <c r="E631" s="53" t="s">
        <v>11</v>
      </c>
      <c r="F631" s="7" t="s">
        <v>2</v>
      </c>
      <c r="G631" s="7" t="s">
        <v>256</v>
      </c>
      <c r="H631" s="146">
        <v>2250</v>
      </c>
      <c r="I631" s="246"/>
      <c r="J631" s="31">
        <f t="shared" si="299"/>
        <v>2250</v>
      </c>
      <c r="K631" s="148">
        <f t="shared" si="300"/>
        <v>0</v>
      </c>
      <c r="M631" s="147">
        <v>2250</v>
      </c>
      <c r="N631" s="147">
        <v>2250</v>
      </c>
      <c r="P631" s="149"/>
      <c r="R631" s="146">
        <v>2250</v>
      </c>
      <c r="S631" s="146">
        <v>2250</v>
      </c>
      <c r="U631" s="146">
        <v>2250</v>
      </c>
      <c r="V631" s="246">
        <v>250</v>
      </c>
      <c r="W631" s="31">
        <f t="shared" si="301"/>
        <v>2500</v>
      </c>
      <c r="X631" s="148">
        <f t="shared" si="302"/>
        <v>0.1111111111111111</v>
      </c>
      <c r="Z631" s="147">
        <v>2500</v>
      </c>
      <c r="AA631" s="147">
        <v>2500</v>
      </c>
      <c r="AC631" s="149"/>
      <c r="AE631" s="146">
        <v>2500</v>
      </c>
      <c r="AF631" s="272">
        <v>2520</v>
      </c>
      <c r="AH631" s="146">
        <v>2500</v>
      </c>
      <c r="AI631" s="246"/>
      <c r="AJ631" s="31">
        <f t="shared" si="303"/>
        <v>2500</v>
      </c>
      <c r="AK631" s="148">
        <f t="shared" si="304"/>
        <v>0</v>
      </c>
      <c r="AM631" s="147">
        <v>2500</v>
      </c>
      <c r="AN631" s="147">
        <v>2500</v>
      </c>
      <c r="AP631" s="149"/>
      <c r="AR631" s="146">
        <v>2500</v>
      </c>
      <c r="AS631" s="146">
        <v>2500</v>
      </c>
      <c r="AU631" s="26">
        <f t="shared" si="305"/>
        <v>2500</v>
      </c>
      <c r="AV631" s="246"/>
      <c r="AW631" s="31">
        <f t="shared" si="306"/>
        <v>2500</v>
      </c>
      <c r="AX631" s="148">
        <f t="shared" si="307"/>
        <v>0</v>
      </c>
      <c r="AZ631" s="147">
        <v>2500</v>
      </c>
      <c r="BA631" s="147">
        <v>2500</v>
      </c>
      <c r="BC631" s="149"/>
      <c r="BE631" s="146">
        <v>2500</v>
      </c>
      <c r="BF631" s="146">
        <v>2500</v>
      </c>
      <c r="BG631" s="6"/>
      <c r="BH631" s="146">
        <v>2500</v>
      </c>
      <c r="BI631" s="246"/>
      <c r="BJ631" s="31">
        <f t="shared" si="308"/>
        <v>2500</v>
      </c>
      <c r="BK631" s="148">
        <f t="shared" si="309"/>
        <v>0</v>
      </c>
      <c r="BM631" s="147">
        <v>2500</v>
      </c>
      <c r="BN631" s="147">
        <v>2500</v>
      </c>
      <c r="BP631" s="149"/>
      <c r="BR631" s="147">
        <v>2500</v>
      </c>
      <c r="BS631" s="146">
        <v>2750</v>
      </c>
      <c r="BT631" s="6"/>
      <c r="BU631" s="146">
        <v>2500</v>
      </c>
      <c r="BV631" s="246">
        <v>250</v>
      </c>
      <c r="BW631" s="583">
        <f t="shared" si="310"/>
        <v>2750</v>
      </c>
      <c r="BX631" s="584">
        <f t="shared" si="311"/>
        <v>0.1</v>
      </c>
      <c r="BY631" s="590"/>
      <c r="BZ631" s="585">
        <v>2750</v>
      </c>
      <c r="CA631" s="585">
        <v>2750</v>
      </c>
      <c r="CB631" s="590"/>
      <c r="CC631" s="753" t="s">
        <v>1443</v>
      </c>
      <c r="CD631" s="590"/>
      <c r="CE631" s="585">
        <v>2750</v>
      </c>
      <c r="CF631" s="585"/>
      <c r="CG631" s="6"/>
      <c r="CH631" s="814"/>
      <c r="CI631" s="814"/>
      <c r="CJ631" s="889"/>
      <c r="CO631" s="16"/>
    </row>
    <row r="632" spans="1:93" x14ac:dyDescent="0.3">
      <c r="A632" s="11">
        <v>492</v>
      </c>
      <c r="B632" s="3" t="s">
        <v>2</v>
      </c>
      <c r="C632" s="40">
        <v>49202</v>
      </c>
      <c r="D632" s="37">
        <v>51920</v>
      </c>
      <c r="E632" s="53" t="s">
        <v>11</v>
      </c>
      <c r="F632" s="3" t="s">
        <v>2</v>
      </c>
      <c r="G632" s="287" t="s">
        <v>908</v>
      </c>
      <c r="H632" s="26">
        <v>3200</v>
      </c>
      <c r="I632" s="244"/>
      <c r="J632" s="16">
        <f>H632+I632</f>
        <v>3200</v>
      </c>
      <c r="K632" s="122">
        <f>IF(H632=0," ",(J632-H632)/H632)</f>
        <v>0</v>
      </c>
      <c r="M632" s="117">
        <v>3200</v>
      </c>
      <c r="N632" s="117">
        <v>3200</v>
      </c>
      <c r="P632" s="259"/>
      <c r="R632" s="26">
        <v>3200</v>
      </c>
      <c r="S632" s="26">
        <v>2730</v>
      </c>
      <c r="U632" s="26">
        <v>3200</v>
      </c>
      <c r="V632" s="244"/>
      <c r="W632" s="16">
        <f>U632+V632</f>
        <v>3200</v>
      </c>
      <c r="X632" s="122">
        <f>IF(U632=0," ",(W632-U632)/U632)</f>
        <v>0</v>
      </c>
      <c r="Z632" s="117">
        <v>3200</v>
      </c>
      <c r="AA632" s="117">
        <v>3200</v>
      </c>
      <c r="AC632" s="259"/>
      <c r="AE632" s="26">
        <v>3200</v>
      </c>
      <c r="AF632" s="200">
        <v>3567.31</v>
      </c>
      <c r="AH632" s="146">
        <v>3200</v>
      </c>
      <c r="AI632" s="244">
        <v>2730</v>
      </c>
      <c r="AJ632" s="16">
        <f>AH632+AI632</f>
        <v>5930</v>
      </c>
      <c r="AK632" s="122">
        <f>IF(AH632=0," ",(AJ632-AH632)/AH632)</f>
        <v>0.85312500000000002</v>
      </c>
      <c r="AM632" s="117">
        <v>2730</v>
      </c>
      <c r="AN632" s="117">
        <v>2730</v>
      </c>
      <c r="AP632" s="152" t="s">
        <v>850</v>
      </c>
      <c r="AR632" s="26">
        <v>2730</v>
      </c>
      <c r="AS632" s="26">
        <v>2730</v>
      </c>
      <c r="AU632" s="26">
        <f t="shared" si="305"/>
        <v>2730</v>
      </c>
      <c r="AV632" s="244">
        <v>910</v>
      </c>
      <c r="AW632" s="16">
        <f>AU632+AV632</f>
        <v>3640</v>
      </c>
      <c r="AX632" s="122">
        <f>IF(AU632=0," ",(AW632-AU632)/AU632)</f>
        <v>0.33333333333333331</v>
      </c>
      <c r="AZ632" s="117">
        <v>3640</v>
      </c>
      <c r="BA632" s="117">
        <v>3640</v>
      </c>
      <c r="BC632" s="259" t="s">
        <v>1018</v>
      </c>
      <c r="BE632" s="26">
        <v>3640</v>
      </c>
      <c r="BF632" s="26">
        <v>3640</v>
      </c>
      <c r="BH632" s="26">
        <v>3640</v>
      </c>
      <c r="BI632" s="244"/>
      <c r="BJ632" s="16">
        <f>BH632+BI632</f>
        <v>3640</v>
      </c>
      <c r="BK632" s="122">
        <f>IF(BH632=0," ",(BJ632-BH632)/BH632)</f>
        <v>0</v>
      </c>
      <c r="BM632" s="117">
        <v>3640</v>
      </c>
      <c r="BN632" s="117">
        <v>3640</v>
      </c>
      <c r="BP632" s="259"/>
      <c r="BR632" s="117">
        <v>3640</v>
      </c>
      <c r="BS632" s="26">
        <v>2730</v>
      </c>
      <c r="BU632" s="26">
        <v>3640</v>
      </c>
      <c r="BV632" s="244">
        <v>-240</v>
      </c>
      <c r="BW632" s="576">
        <f>BU632+BV632</f>
        <v>3400</v>
      </c>
      <c r="BX632" s="577">
        <f>IF(BU632=0," ",(BW632-BU632)/BU632)</f>
        <v>-6.5934065934065936E-2</v>
      </c>
      <c r="BZ632" s="166">
        <v>3400</v>
      </c>
      <c r="CA632" s="166">
        <v>3400</v>
      </c>
      <c r="CC632" s="753" t="s">
        <v>1443</v>
      </c>
      <c r="CE632" s="166">
        <v>3400</v>
      </c>
      <c r="CF632" s="166"/>
      <c r="CO632" s="16"/>
    </row>
    <row r="633" spans="1:93" x14ac:dyDescent="0.3">
      <c r="A633" s="11">
        <v>492</v>
      </c>
      <c r="B633" s="3" t="s">
        <v>2</v>
      </c>
      <c r="C633" s="40">
        <v>49202</v>
      </c>
      <c r="D633" s="37">
        <v>51970</v>
      </c>
      <c r="E633" s="53" t="s">
        <v>11</v>
      </c>
      <c r="F633" s="3" t="s">
        <v>2</v>
      </c>
      <c r="G633" s="3" t="s">
        <v>250</v>
      </c>
      <c r="H633" s="26">
        <v>200</v>
      </c>
      <c r="I633" s="244"/>
      <c r="J633" s="16">
        <f>H633+I633</f>
        <v>200</v>
      </c>
      <c r="K633" s="122">
        <f>IF(H633=0," ",(J633-H633)/H633)</f>
        <v>0</v>
      </c>
      <c r="M633" s="117">
        <v>200</v>
      </c>
      <c r="N633" s="117">
        <v>200</v>
      </c>
      <c r="P633" s="259"/>
      <c r="R633" s="26">
        <v>200</v>
      </c>
      <c r="S633" s="26">
        <v>40</v>
      </c>
      <c r="U633" s="26">
        <v>200</v>
      </c>
      <c r="V633" s="244"/>
      <c r="W633" s="16">
        <f>U633+V633</f>
        <v>200</v>
      </c>
      <c r="X633" s="122">
        <f>IF(U633=0," ",(W633-U633)/U633)</f>
        <v>0</v>
      </c>
      <c r="Z633" s="117">
        <v>200</v>
      </c>
      <c r="AA633" s="117">
        <v>200</v>
      </c>
      <c r="AC633" s="259"/>
      <c r="AE633" s="26">
        <v>200</v>
      </c>
      <c r="AF633" s="200">
        <v>30</v>
      </c>
      <c r="AH633" s="146">
        <v>200</v>
      </c>
      <c r="AI633" s="244"/>
      <c r="AJ633" s="16">
        <f>AH633+AI633</f>
        <v>200</v>
      </c>
      <c r="AK633" s="122">
        <f>IF(AH633=0," ",(AJ633-AH633)/AH633)</f>
        <v>0</v>
      </c>
      <c r="AM633" s="117">
        <v>200</v>
      </c>
      <c r="AN633" s="117">
        <v>200</v>
      </c>
      <c r="AP633" s="259"/>
      <c r="AR633" s="26">
        <v>200</v>
      </c>
      <c r="AS633" s="26">
        <v>20</v>
      </c>
      <c r="AU633" s="26">
        <f t="shared" si="305"/>
        <v>200</v>
      </c>
      <c r="AV633" s="244"/>
      <c r="AW633" s="16">
        <f>AU633+AV633</f>
        <v>200</v>
      </c>
      <c r="AX633" s="122">
        <f>IF(AU633=0," ",(AW633-AU633)/AU633)</f>
        <v>0</v>
      </c>
      <c r="AZ633" s="117">
        <v>200</v>
      </c>
      <c r="BA633" s="117">
        <v>200</v>
      </c>
      <c r="BC633" s="259"/>
      <c r="BE633" s="26">
        <v>200</v>
      </c>
      <c r="BF633" s="26">
        <v>40</v>
      </c>
      <c r="BH633" s="26">
        <v>200</v>
      </c>
      <c r="BI633" s="244"/>
      <c r="BJ633" s="16">
        <f>BH633+BI633</f>
        <v>200</v>
      </c>
      <c r="BK633" s="122">
        <f>IF(BH633=0," ",(BJ633-BH633)/BH633)</f>
        <v>0</v>
      </c>
      <c r="BM633" s="117">
        <v>200</v>
      </c>
      <c r="BN633" s="117">
        <v>200</v>
      </c>
      <c r="BP633" s="259"/>
      <c r="BR633" s="117">
        <v>200</v>
      </c>
      <c r="BS633" s="26">
        <v>10</v>
      </c>
      <c r="BU633" s="26">
        <v>200</v>
      </c>
      <c r="BV633" s="244">
        <v>-200</v>
      </c>
      <c r="BW633" s="576">
        <f>BU633+BV633</f>
        <v>0</v>
      </c>
      <c r="BX633" s="577">
        <f>IF(BU633=0," ",(BW633-BU633)/BU633)</f>
        <v>-1</v>
      </c>
      <c r="BZ633" s="166">
        <v>0</v>
      </c>
      <c r="CA633" s="166">
        <v>0</v>
      </c>
      <c r="CC633" s="753" t="s">
        <v>1576</v>
      </c>
      <c r="CE633" s="166">
        <v>0</v>
      </c>
      <c r="CF633" s="166"/>
      <c r="CO633" s="16"/>
    </row>
    <row r="634" spans="1:93" x14ac:dyDescent="0.3">
      <c r="A634" s="12"/>
      <c r="H634" s="32">
        <f>SUM(H626:H633)</f>
        <v>150874</v>
      </c>
      <c r="I634" s="32">
        <f>SUM(I626:I633)</f>
        <v>1291</v>
      </c>
      <c r="J634" s="32">
        <f>SUM(J626:J633)</f>
        <v>152165</v>
      </c>
      <c r="K634" s="128">
        <f>IF(H634=0," ",(J634-H634)/H634)</f>
        <v>8.5568089929345011E-3</v>
      </c>
      <c r="M634" s="32">
        <f>SUM(M626:M633)</f>
        <v>152165</v>
      </c>
      <c r="N634" s="32">
        <f>SUM(N626:N633)</f>
        <v>152165</v>
      </c>
      <c r="P634" s="141">
        <f>SUM(P626:P631)</f>
        <v>0</v>
      </c>
      <c r="R634" s="32">
        <f>SUM(R626:R633)</f>
        <v>152165</v>
      </c>
      <c r="S634" s="32">
        <f>SUM(S626:S633)</f>
        <v>150334.73000000001</v>
      </c>
      <c r="U634" s="32">
        <f>SUM(U626:U633)</f>
        <v>152165</v>
      </c>
      <c r="V634" s="32">
        <f>SUM(V626:V633)</f>
        <v>1624</v>
      </c>
      <c r="W634" s="32">
        <f>SUM(W626:W633)</f>
        <v>153789</v>
      </c>
      <c r="X634" s="128">
        <f>IF(U634=0," ",(W634-U634)/U634)</f>
        <v>1.0672625110899352E-2</v>
      </c>
      <c r="Z634" s="32">
        <f>SUM(Z626:Z633)</f>
        <v>153789</v>
      </c>
      <c r="AA634" s="32">
        <f>SUM(AA626:AA633)</f>
        <v>153789</v>
      </c>
      <c r="AC634" s="141"/>
      <c r="AE634" s="32">
        <f>SUM(AE626:AE633)</f>
        <v>153789</v>
      </c>
      <c r="AF634" s="32">
        <f>SUM(AF626:AF633)</f>
        <v>150529.74</v>
      </c>
      <c r="AH634" s="32">
        <f>SUM(AH626:AH633)</f>
        <v>153789</v>
      </c>
      <c r="AI634" s="32">
        <f>SUM(AI626:AI633)</f>
        <v>11595</v>
      </c>
      <c r="AJ634" s="32">
        <f>SUM(AJ626:AJ633)</f>
        <v>165384</v>
      </c>
      <c r="AK634" s="128">
        <f>IF(AH634=0," ",(AJ634-AH634)/AH634)</f>
        <v>7.5395509431753896E-2</v>
      </c>
      <c r="AM634" s="32">
        <f>SUM(AM626:AM633)</f>
        <v>162184</v>
      </c>
      <c r="AN634" s="32">
        <f>SUM(AN626:AN633)</f>
        <v>162184</v>
      </c>
      <c r="AP634" s="141"/>
      <c r="AR634" s="32">
        <f>SUM(AR626:AR633)</f>
        <v>162184</v>
      </c>
      <c r="AS634" s="145">
        <f>SUM(AS626:AS633)</f>
        <v>162183.78999999998</v>
      </c>
      <c r="AU634" s="32">
        <f>SUM(AU626:AU633)</f>
        <v>162184</v>
      </c>
      <c r="AV634" s="32">
        <f>SUM(AV626:AV633)</f>
        <v>6261</v>
      </c>
      <c r="AW634" s="32">
        <f>SUM(AW626:AW633)</f>
        <v>168445</v>
      </c>
      <c r="AX634" s="128">
        <f>IF(AU634=0," ",(AW634-AU634)/AU634)</f>
        <v>3.8604301287426625E-2</v>
      </c>
      <c r="AZ634" s="32">
        <f>SUM(AZ626:AZ633)</f>
        <v>169081</v>
      </c>
      <c r="BA634" s="32">
        <f>SUM(BA626:BA633)</f>
        <v>168862</v>
      </c>
      <c r="BC634" s="141"/>
      <c r="BE634" s="145">
        <f>SUM(BE626:BE633)</f>
        <v>168862</v>
      </c>
      <c r="BF634" s="145">
        <f>SUM(BF626:BF633)</f>
        <v>170358.75000000003</v>
      </c>
      <c r="BH634" s="145">
        <f>SUM(BH626:BH633)</f>
        <v>168862</v>
      </c>
      <c r="BI634" s="32">
        <f>SUM(BI626:BI633)</f>
        <v>13740</v>
      </c>
      <c r="BJ634" s="32">
        <f>SUM(BJ626:BJ633)</f>
        <v>182602</v>
      </c>
      <c r="BK634" s="128">
        <f>IF(BH634=0," ",(BJ634-BH634)/BH634)</f>
        <v>8.136821783468158E-2</v>
      </c>
      <c r="BM634" s="145">
        <f>SUM(BM626:BM633)</f>
        <v>182602</v>
      </c>
      <c r="BN634" s="145">
        <f>SUM(BN626:BN633)</f>
        <v>182602</v>
      </c>
      <c r="BP634" s="141"/>
      <c r="BR634" s="145">
        <f>SUM(BR626:BR633)</f>
        <v>182602</v>
      </c>
      <c r="BS634" s="145">
        <f>SUM(BS626:BS633)</f>
        <v>86251.839999999997</v>
      </c>
      <c r="BU634" s="145">
        <f>SUM(BU626:BU633)</f>
        <v>182602</v>
      </c>
      <c r="BV634" s="32">
        <f>SUM(BV626:BV633)</f>
        <v>7675</v>
      </c>
      <c r="BW634" s="595">
        <f>SUM(BW626:BW633)</f>
        <v>190277</v>
      </c>
      <c r="BX634" s="596">
        <f>IF(BU634=0," ",(BW634-BU634)/BU634)</f>
        <v>4.2031303052540499E-2</v>
      </c>
      <c r="BZ634" s="597">
        <f>SUM(BZ626:BZ633)</f>
        <v>190277</v>
      </c>
      <c r="CA634" s="597">
        <f>SUM(CA626:CA633)</f>
        <v>190277</v>
      </c>
      <c r="CC634" s="770"/>
      <c r="CE634" s="597">
        <f>SUM(CE626:CE633)</f>
        <v>190277</v>
      </c>
      <c r="CF634" s="597">
        <f>SUM(CF626:CF633)</f>
        <v>0</v>
      </c>
      <c r="CO634" s="16"/>
    </row>
    <row r="635" spans="1:93" x14ac:dyDescent="0.3">
      <c r="AS635" s="26"/>
      <c r="BE635" s="26"/>
      <c r="BF635" s="26"/>
      <c r="BH635" s="26"/>
      <c r="BM635" s="26"/>
      <c r="BN635" s="26"/>
      <c r="BR635" s="26"/>
      <c r="BU635" s="26"/>
      <c r="BZ635" s="589"/>
      <c r="CA635" s="589"/>
      <c r="CE635" s="589"/>
      <c r="CF635" s="589"/>
      <c r="CO635" s="16"/>
    </row>
    <row r="636" spans="1:93" s="19" customFormat="1" x14ac:dyDescent="0.3">
      <c r="A636" s="27"/>
      <c r="B636" s="8"/>
      <c r="C636" s="42"/>
      <c r="D636" s="42"/>
      <c r="E636" s="54"/>
      <c r="F636" s="8"/>
      <c r="G636" s="57" t="s">
        <v>1154</v>
      </c>
      <c r="H636" s="28">
        <f>H624+H634</f>
        <v>233660</v>
      </c>
      <c r="I636" s="28">
        <f>I624+I634</f>
        <v>4775</v>
      </c>
      <c r="J636" s="28">
        <f>J624+J634</f>
        <v>238435</v>
      </c>
      <c r="K636" s="123">
        <f>IF(H636=0," ",(J636-H636)/H636)</f>
        <v>2.0435675768210221E-2</v>
      </c>
      <c r="M636" s="28">
        <f>M624+M634</f>
        <v>238435</v>
      </c>
      <c r="N636" s="28">
        <f>N624+N634</f>
        <v>238435</v>
      </c>
      <c r="P636" s="139">
        <f>P624+P634</f>
        <v>0</v>
      </c>
      <c r="R636" s="28">
        <f>R624+R634</f>
        <v>238435</v>
      </c>
      <c r="S636" s="28">
        <f>S624+S634</f>
        <v>234431.93</v>
      </c>
      <c r="U636" s="28">
        <f>U624+U634</f>
        <v>238435</v>
      </c>
      <c r="V636" s="28">
        <f>V624+V634</f>
        <v>3404</v>
      </c>
      <c r="W636" s="28">
        <f>W624+W634</f>
        <v>241839</v>
      </c>
      <c r="X636" s="123">
        <f>IF(U636=0," ",(W636-U636)/U636)</f>
        <v>1.4276427537903412E-2</v>
      </c>
      <c r="Z636" s="28">
        <f>Z624+Z634</f>
        <v>241839</v>
      </c>
      <c r="AA636" s="28">
        <f>AA624+AA634</f>
        <v>241839</v>
      </c>
      <c r="AC636" s="139"/>
      <c r="AE636" s="28">
        <f>AE624+AE634</f>
        <v>241839</v>
      </c>
      <c r="AF636" s="201">
        <f>AF624+AF634</f>
        <v>238578.94</v>
      </c>
      <c r="AH636" s="28">
        <f>AH624+AH634</f>
        <v>241839</v>
      </c>
      <c r="AI636" s="28">
        <f>AI624+AI634</f>
        <v>16430</v>
      </c>
      <c r="AJ636" s="28">
        <f>AJ624+AJ634</f>
        <v>258269</v>
      </c>
      <c r="AK636" s="123">
        <f>IF(AH636=0," ",(AJ636-AH636)/AH636)</f>
        <v>6.7937760245452547E-2</v>
      </c>
      <c r="AM636" s="28">
        <f>AM624+AM634</f>
        <v>255069</v>
      </c>
      <c r="AN636" s="28">
        <f>AN624+AN634</f>
        <v>255069</v>
      </c>
      <c r="AP636" s="139"/>
      <c r="AR636" s="28">
        <f>AR624+AR634</f>
        <v>255069</v>
      </c>
      <c r="AS636" s="28">
        <f>AS624+AS634</f>
        <v>255067.87</v>
      </c>
      <c r="AU636" s="28">
        <f>AU624+AU634</f>
        <v>255069</v>
      </c>
      <c r="AV636" s="28">
        <f>AV624+AV634</f>
        <v>10277</v>
      </c>
      <c r="AW636" s="28">
        <f>AW624+AW634</f>
        <v>265346</v>
      </c>
      <c r="AX636" s="123">
        <f>IF(AU636=0," ",(AW636-AU636)/AU636)</f>
        <v>4.0291058497896645E-2</v>
      </c>
      <c r="AZ636" s="28">
        <f>AZ624+AZ634</f>
        <v>265606</v>
      </c>
      <c r="BA636" s="28">
        <f>BA624+BA634</f>
        <v>263904</v>
      </c>
      <c r="BC636" s="139"/>
      <c r="BE636" s="28">
        <f>BE624+BE634</f>
        <v>263904</v>
      </c>
      <c r="BF636" s="28">
        <f>BF624+BF634</f>
        <v>222885.03000000003</v>
      </c>
      <c r="BG636" s="9"/>
      <c r="BH636" s="28">
        <f>BH624+BH634</f>
        <v>263904</v>
      </c>
      <c r="BI636" s="28">
        <f>BI624+BI634</f>
        <v>-37863</v>
      </c>
      <c r="BJ636" s="28">
        <f>BJ624+BJ634</f>
        <v>226041</v>
      </c>
      <c r="BK636" s="123">
        <f>IF(BH636=0," ",(BJ636-BH636)/BH636)</f>
        <v>-0.14347262640960348</v>
      </c>
      <c r="BM636" s="28">
        <f>BM624+BM634</f>
        <v>226041</v>
      </c>
      <c r="BN636" s="28">
        <f>BN624+BN634</f>
        <v>226041</v>
      </c>
      <c r="BP636" s="139"/>
      <c r="BR636" s="28">
        <f>BR624+BR634</f>
        <v>226041</v>
      </c>
      <c r="BS636" s="28">
        <f>BS624+BS634</f>
        <v>105684.88</v>
      </c>
      <c r="BT636" s="9"/>
      <c r="BU636" s="28">
        <f>BU624+BU634</f>
        <v>226041</v>
      </c>
      <c r="BV636" s="532">
        <f>BV624+BV634</f>
        <v>8944</v>
      </c>
      <c r="BW636" s="591">
        <f>BW624+BW634</f>
        <v>234985</v>
      </c>
      <c r="BX636" s="579">
        <f>IF(BU636=0," ",(BW636-BU636)/BU636)</f>
        <v>3.956804296565667E-2</v>
      </c>
      <c r="BY636" s="580"/>
      <c r="BZ636" s="591">
        <f>BZ624+BZ634</f>
        <v>234985</v>
      </c>
      <c r="CA636" s="591">
        <f>CA624+CA634</f>
        <v>234985</v>
      </c>
      <c r="CB636" s="580"/>
      <c r="CC636" s="769"/>
      <c r="CD636" s="580"/>
      <c r="CE636" s="591">
        <f>CE624+CE634</f>
        <v>234985</v>
      </c>
      <c r="CF636" s="591">
        <f>CF624+CF634</f>
        <v>0</v>
      </c>
      <c r="CG636" s="9"/>
      <c r="CH636" s="815"/>
      <c r="CI636" s="815"/>
      <c r="CJ636" s="887"/>
      <c r="CO636" s="16"/>
    </row>
    <row r="637" spans="1:93" s="9" customFormat="1" x14ac:dyDescent="0.3">
      <c r="A637" s="29"/>
      <c r="C637" s="43"/>
      <c r="D637" s="43"/>
      <c r="E637" s="46"/>
      <c r="G637" s="527"/>
      <c r="H637" s="30"/>
      <c r="I637" s="30"/>
      <c r="J637" s="30"/>
      <c r="K637" s="126"/>
      <c r="M637" s="30"/>
      <c r="N637" s="30"/>
      <c r="P637" s="140"/>
      <c r="R637" s="30"/>
      <c r="S637" s="30"/>
      <c r="U637" s="30"/>
      <c r="V637" s="30"/>
      <c r="W637" s="30"/>
      <c r="X637" s="126"/>
      <c r="Z637" s="30"/>
      <c r="AA637" s="30"/>
      <c r="AC637" s="140"/>
      <c r="AE637" s="30"/>
      <c r="AF637" s="174"/>
      <c r="AH637" s="30"/>
      <c r="AI637" s="30"/>
      <c r="AJ637" s="30"/>
      <c r="AK637" s="126"/>
      <c r="AM637" s="30"/>
      <c r="AN637" s="30"/>
      <c r="AP637" s="140"/>
      <c r="AR637" s="30"/>
      <c r="AS637" s="30"/>
      <c r="AU637" s="30"/>
      <c r="AV637" s="30"/>
      <c r="AW637" s="30"/>
      <c r="AX637" s="126"/>
      <c r="AZ637" s="30"/>
      <c r="BA637" s="30"/>
      <c r="BC637" s="140"/>
      <c r="BE637" s="30"/>
      <c r="BF637" s="30"/>
      <c r="BH637" s="30"/>
      <c r="BI637" s="30"/>
      <c r="BJ637" s="30"/>
      <c r="BK637" s="126"/>
      <c r="BM637" s="30"/>
      <c r="BN637" s="30"/>
      <c r="BP637" s="140"/>
      <c r="BR637" s="30"/>
      <c r="BS637" s="30"/>
      <c r="BU637" s="30"/>
      <c r="BV637" s="26"/>
      <c r="BW637" s="305"/>
      <c r="BX637" s="593"/>
      <c r="BY637" s="603"/>
      <c r="BZ637" s="305"/>
      <c r="CA637" s="305"/>
      <c r="CB637" s="603"/>
      <c r="CC637" s="752"/>
      <c r="CD637" s="603"/>
      <c r="CE637" s="305"/>
      <c r="CF637" s="305"/>
      <c r="CH637" s="817"/>
      <c r="CI637" s="817"/>
      <c r="CJ637" s="884"/>
      <c r="CO637" s="16"/>
    </row>
    <row r="638" spans="1:93" s="9" customFormat="1" x14ac:dyDescent="0.3">
      <c r="A638" s="29"/>
      <c r="C638" s="43"/>
      <c r="D638" s="43"/>
      <c r="E638" s="46"/>
      <c r="G638" s="527"/>
      <c r="H638" s="30"/>
      <c r="I638" s="30"/>
      <c r="J638" s="30"/>
      <c r="K638" s="126"/>
      <c r="M638" s="30"/>
      <c r="N638" s="30"/>
      <c r="P638" s="140"/>
      <c r="R638" s="30"/>
      <c r="S638" s="30"/>
      <c r="U638" s="30"/>
      <c r="V638" s="30"/>
      <c r="W638" s="30"/>
      <c r="X638" s="126"/>
      <c r="Z638" s="30"/>
      <c r="AA638" s="30"/>
      <c r="AC638" s="140"/>
      <c r="AE638" s="30"/>
      <c r="AF638" s="174"/>
      <c r="AH638" s="30"/>
      <c r="AI638" s="30"/>
      <c r="AJ638" s="30"/>
      <c r="AK638" s="126"/>
      <c r="AM638" s="30"/>
      <c r="AN638" s="30"/>
      <c r="AP638" s="140"/>
      <c r="AR638" s="30"/>
      <c r="AS638" s="30"/>
      <c r="AU638" s="30"/>
      <c r="AV638" s="30"/>
      <c r="AW638" s="30"/>
      <c r="AX638" s="126"/>
      <c r="AZ638" s="30"/>
      <c r="BA638" s="30"/>
      <c r="BC638" s="140"/>
      <c r="BE638" s="30"/>
      <c r="BF638" s="30"/>
      <c r="BH638" s="30"/>
      <c r="BI638" s="30"/>
      <c r="BJ638" s="30"/>
      <c r="BK638" s="126"/>
      <c r="BM638" s="30"/>
      <c r="BN638" s="30"/>
      <c r="BP638" s="140"/>
      <c r="BR638" s="30"/>
      <c r="BS638" s="30"/>
      <c r="BU638" s="30"/>
      <c r="BV638" s="26"/>
      <c r="BW638" s="305"/>
      <c r="BX638" s="593"/>
      <c r="BY638" s="603"/>
      <c r="BZ638" s="305"/>
      <c r="CA638" s="305"/>
      <c r="CB638" s="603"/>
      <c r="CC638" s="752"/>
      <c r="CD638" s="603"/>
      <c r="CE638" s="305"/>
      <c r="CF638" s="305"/>
      <c r="CH638" s="817"/>
      <c r="CI638" s="817"/>
      <c r="CJ638" s="884"/>
      <c r="CO638" s="16"/>
    </row>
    <row r="639" spans="1:93" x14ac:dyDescent="0.3">
      <c r="A639" s="11">
        <v>492</v>
      </c>
      <c r="B639" s="3" t="s">
        <v>2</v>
      </c>
      <c r="C639" s="37">
        <v>49205</v>
      </c>
      <c r="D639" s="37">
        <v>52100</v>
      </c>
      <c r="E639" s="49" t="s">
        <v>118</v>
      </c>
      <c r="F639" s="3" t="s">
        <v>2</v>
      </c>
      <c r="G639" s="3" t="s">
        <v>249</v>
      </c>
      <c r="H639" s="26">
        <v>10500</v>
      </c>
      <c r="I639" s="244"/>
      <c r="J639" s="16">
        <f t="shared" ref="J639:J666" si="312">H639+I639</f>
        <v>10500</v>
      </c>
      <c r="K639" s="122">
        <f t="shared" ref="K639:K666" si="313">IF(H639=0," ",(J639-H639)/H639)</f>
        <v>0</v>
      </c>
      <c r="M639" s="117">
        <v>10500</v>
      </c>
      <c r="N639" s="117">
        <v>10500</v>
      </c>
      <c r="P639" s="259"/>
      <c r="R639" s="26">
        <v>10500</v>
      </c>
      <c r="S639" s="26">
        <v>5653.49</v>
      </c>
      <c r="U639" s="26">
        <v>10500</v>
      </c>
      <c r="V639" s="244"/>
      <c r="W639" s="16">
        <f t="shared" ref="W639:W666" si="314">U639+V639</f>
        <v>10500</v>
      </c>
      <c r="X639" s="122">
        <f t="shared" ref="X639:X666" si="315">IF(U639=0," ",(W639-U639)/U639)</f>
        <v>0</v>
      </c>
      <c r="Z639" s="117">
        <v>10500</v>
      </c>
      <c r="AA639" s="117">
        <v>10500</v>
      </c>
      <c r="AC639" s="259"/>
      <c r="AE639" s="26">
        <v>10500</v>
      </c>
      <c r="AF639" s="200">
        <v>5618.05</v>
      </c>
      <c r="AH639" s="26">
        <v>10500</v>
      </c>
      <c r="AI639" s="244"/>
      <c r="AJ639" s="16">
        <f t="shared" ref="AJ639:AJ666" si="316">AH639+AI639</f>
        <v>10500</v>
      </c>
      <c r="AK639" s="122">
        <f t="shared" ref="AK639:AK644" si="317">IF(AH639=0," ",(AJ639-AH639)/AH639)</f>
        <v>0</v>
      </c>
      <c r="AM639" s="117">
        <v>10500</v>
      </c>
      <c r="AN639" s="117">
        <v>10500</v>
      </c>
      <c r="AP639" s="259"/>
      <c r="AR639" s="26">
        <v>10500</v>
      </c>
      <c r="AS639" s="26">
        <v>9612.0400000000009</v>
      </c>
      <c r="AU639" s="26">
        <f t="shared" ref="AU639:AU666" si="318">AR639</f>
        <v>10500</v>
      </c>
      <c r="AV639" s="244"/>
      <c r="AW639" s="16">
        <f t="shared" ref="AW639:AW666" si="319">AU639+AV639</f>
        <v>10500</v>
      </c>
      <c r="AX639" s="122">
        <f t="shared" ref="AX639:AX644" si="320">IF(AU639=0," ",(AW639-AU639)/AU639)</f>
        <v>0</v>
      </c>
      <c r="AZ639" s="117">
        <v>10500</v>
      </c>
      <c r="BA639" s="117">
        <v>10500</v>
      </c>
      <c r="BC639" s="259"/>
      <c r="BE639" s="26">
        <v>10500</v>
      </c>
      <c r="BF639" s="26">
        <v>4253.57</v>
      </c>
      <c r="BH639" s="26">
        <v>10500</v>
      </c>
      <c r="BI639" s="244"/>
      <c r="BJ639" s="16">
        <f t="shared" ref="BJ639:BJ646" si="321">BH639+BI639</f>
        <v>10500</v>
      </c>
      <c r="BK639" s="122">
        <f t="shared" ref="BK639:BK644" si="322">IF(BH639=0," ",(BJ639-BH639)/BH639)</f>
        <v>0</v>
      </c>
      <c r="BM639" s="117">
        <v>10500</v>
      </c>
      <c r="BN639" s="117">
        <v>10500</v>
      </c>
      <c r="BP639" s="259"/>
      <c r="BR639" s="117">
        <v>10500</v>
      </c>
      <c r="BS639" s="26">
        <v>1186.3599999999999</v>
      </c>
      <c r="BU639" s="26">
        <v>10500</v>
      </c>
      <c r="BV639" s="244">
        <v>-1000</v>
      </c>
      <c r="BW639" s="576">
        <f t="shared" ref="BW639:BW646" si="323">BU639+BV639</f>
        <v>9500</v>
      </c>
      <c r="BX639" s="577">
        <f t="shared" ref="BX639:BX644" si="324">IF(BU639=0," ",(BW639-BU639)/BU639)</f>
        <v>-9.5238095238095233E-2</v>
      </c>
      <c r="BZ639" s="166">
        <v>9500</v>
      </c>
      <c r="CA639" s="166">
        <v>9500</v>
      </c>
      <c r="CC639" s="753" t="s">
        <v>1444</v>
      </c>
      <c r="CE639" s="166">
        <v>9500</v>
      </c>
      <c r="CF639" s="166"/>
      <c r="CO639" s="16"/>
    </row>
    <row r="640" spans="1:93" x14ac:dyDescent="0.3">
      <c r="A640" s="11">
        <v>492</v>
      </c>
      <c r="B640" s="3" t="s">
        <v>2</v>
      </c>
      <c r="C640" s="37">
        <v>49205</v>
      </c>
      <c r="D640" s="37">
        <v>52200</v>
      </c>
      <c r="E640" s="49" t="s">
        <v>118</v>
      </c>
      <c r="F640" s="3" t="s">
        <v>2</v>
      </c>
      <c r="G640" s="3" t="s">
        <v>936</v>
      </c>
      <c r="H640" s="26">
        <v>3000</v>
      </c>
      <c r="I640" s="244"/>
      <c r="J640" s="16">
        <f t="shared" si="312"/>
        <v>3000</v>
      </c>
      <c r="K640" s="122">
        <f t="shared" si="313"/>
        <v>0</v>
      </c>
      <c r="M640" s="117">
        <v>3000</v>
      </c>
      <c r="N640" s="117">
        <v>3000</v>
      </c>
      <c r="P640" s="259"/>
      <c r="R640" s="26">
        <v>3000</v>
      </c>
      <c r="S640" s="26">
        <v>1462.27</v>
      </c>
      <c r="U640" s="26">
        <v>3000</v>
      </c>
      <c r="V640" s="244"/>
      <c r="W640" s="16">
        <f t="shared" si="314"/>
        <v>3000</v>
      </c>
      <c r="X640" s="122">
        <f t="shared" si="315"/>
        <v>0</v>
      </c>
      <c r="Z640" s="117">
        <v>3000</v>
      </c>
      <c r="AA640" s="117">
        <v>3000</v>
      </c>
      <c r="AC640" s="259"/>
      <c r="AE640" s="26">
        <v>3000</v>
      </c>
      <c r="AF640" s="200">
        <v>2032.46</v>
      </c>
      <c r="AH640" s="26">
        <v>3000</v>
      </c>
      <c r="AI640" s="244"/>
      <c r="AJ640" s="16">
        <f t="shared" si="316"/>
        <v>3000</v>
      </c>
      <c r="AK640" s="122">
        <f t="shared" si="317"/>
        <v>0</v>
      </c>
      <c r="AM640" s="117">
        <v>3000</v>
      </c>
      <c r="AN640" s="117">
        <v>3000</v>
      </c>
      <c r="AP640" s="259"/>
      <c r="AR640" s="26">
        <v>3000</v>
      </c>
      <c r="AS640" s="26">
        <v>2106.6799999999998</v>
      </c>
      <c r="AU640" s="26">
        <f t="shared" si="318"/>
        <v>3000</v>
      </c>
      <c r="AV640" s="244"/>
      <c r="AW640" s="16">
        <f t="shared" si="319"/>
        <v>3000</v>
      </c>
      <c r="AX640" s="122">
        <f t="shared" si="320"/>
        <v>0</v>
      </c>
      <c r="AZ640" s="117">
        <v>3000</v>
      </c>
      <c r="BA640" s="117">
        <v>3000</v>
      </c>
      <c r="BC640" s="259"/>
      <c r="BE640" s="26">
        <v>3000</v>
      </c>
      <c r="BF640" s="26">
        <v>2245.9</v>
      </c>
      <c r="BH640" s="26">
        <v>3000</v>
      </c>
      <c r="BI640" s="244"/>
      <c r="BJ640" s="16">
        <f t="shared" si="321"/>
        <v>3000</v>
      </c>
      <c r="BK640" s="122">
        <f t="shared" si="322"/>
        <v>0</v>
      </c>
      <c r="BM640" s="117">
        <v>3000</v>
      </c>
      <c r="BN640" s="117">
        <v>3000</v>
      </c>
      <c r="BP640" s="259"/>
      <c r="BR640" s="117">
        <v>3000</v>
      </c>
      <c r="BS640" s="26">
        <v>356.74</v>
      </c>
      <c r="BU640" s="26">
        <v>3000</v>
      </c>
      <c r="BV640" s="244"/>
      <c r="BW640" s="576">
        <f t="shared" si="323"/>
        <v>3000</v>
      </c>
      <c r="BX640" s="577">
        <f t="shared" si="324"/>
        <v>0</v>
      </c>
      <c r="BZ640" s="166">
        <v>3000</v>
      </c>
      <c r="CA640" s="166">
        <v>3000</v>
      </c>
      <c r="CC640" s="753"/>
      <c r="CE640" s="166">
        <v>3000</v>
      </c>
      <c r="CF640" s="166"/>
      <c r="CO640" s="16"/>
    </row>
    <row r="641" spans="1:93" x14ac:dyDescent="0.3">
      <c r="A641" s="11">
        <v>492</v>
      </c>
      <c r="B641" s="3" t="s">
        <v>2</v>
      </c>
      <c r="C641" s="37">
        <v>49205</v>
      </c>
      <c r="D641" s="37">
        <v>52300</v>
      </c>
      <c r="E641" s="49" t="s">
        <v>118</v>
      </c>
      <c r="F641" s="3" t="s">
        <v>2</v>
      </c>
      <c r="G641" s="3" t="s">
        <v>248</v>
      </c>
      <c r="H641" s="26">
        <v>1060</v>
      </c>
      <c r="I641" s="244"/>
      <c r="J641" s="16">
        <f t="shared" si="312"/>
        <v>1060</v>
      </c>
      <c r="K641" s="122">
        <f t="shared" si="313"/>
        <v>0</v>
      </c>
      <c r="M641" s="117">
        <v>1060</v>
      </c>
      <c r="N641" s="117">
        <v>1060</v>
      </c>
      <c r="P641" s="259"/>
      <c r="R641" s="26">
        <v>1060</v>
      </c>
      <c r="S641" s="26">
        <v>631.75</v>
      </c>
      <c r="U641" s="26">
        <v>1060</v>
      </c>
      <c r="V641" s="244"/>
      <c r="W641" s="16">
        <f t="shared" si="314"/>
        <v>1060</v>
      </c>
      <c r="X641" s="122">
        <f t="shared" si="315"/>
        <v>0</v>
      </c>
      <c r="Z641" s="117">
        <v>1060</v>
      </c>
      <c r="AA641" s="117">
        <v>1060</v>
      </c>
      <c r="AC641" s="259"/>
      <c r="AE641" s="26">
        <v>1060</v>
      </c>
      <c r="AF641" s="200">
        <v>465.4</v>
      </c>
      <c r="AH641" s="26">
        <v>1060</v>
      </c>
      <c r="AI641" s="244"/>
      <c r="AJ641" s="16">
        <f t="shared" si="316"/>
        <v>1060</v>
      </c>
      <c r="AK641" s="122">
        <f t="shared" si="317"/>
        <v>0</v>
      </c>
      <c r="AM641" s="117">
        <v>1060</v>
      </c>
      <c r="AN641" s="117">
        <v>1060</v>
      </c>
      <c r="AP641" s="259"/>
      <c r="AR641" s="26">
        <v>1060</v>
      </c>
      <c r="AS641" s="26">
        <v>328.2</v>
      </c>
      <c r="AU641" s="26">
        <f t="shared" si="318"/>
        <v>1060</v>
      </c>
      <c r="AV641" s="244"/>
      <c r="AW641" s="16">
        <f t="shared" si="319"/>
        <v>1060</v>
      </c>
      <c r="AX641" s="122">
        <f t="shared" si="320"/>
        <v>0</v>
      </c>
      <c r="AZ641" s="117">
        <v>1060</v>
      </c>
      <c r="BA641" s="117">
        <v>1060</v>
      </c>
      <c r="BC641" s="259"/>
      <c r="BE641" s="26">
        <v>1060</v>
      </c>
      <c r="BF641" s="26">
        <v>512.1</v>
      </c>
      <c r="BH641" s="26">
        <v>1060</v>
      </c>
      <c r="BI641" s="244"/>
      <c r="BJ641" s="16">
        <f t="shared" si="321"/>
        <v>1060</v>
      </c>
      <c r="BK641" s="122">
        <f t="shared" si="322"/>
        <v>0</v>
      </c>
      <c r="BM641" s="117">
        <v>1060</v>
      </c>
      <c r="BN641" s="117">
        <v>1060</v>
      </c>
      <c r="BP641" s="259"/>
      <c r="BR641" s="117">
        <v>1060</v>
      </c>
      <c r="BS641" s="26">
        <v>77.13</v>
      </c>
      <c r="BU641" s="26">
        <v>1060</v>
      </c>
      <c r="BV641" s="244"/>
      <c r="BW641" s="576">
        <f t="shared" si="323"/>
        <v>1060</v>
      </c>
      <c r="BX641" s="577">
        <f t="shared" si="324"/>
        <v>0</v>
      </c>
      <c r="BZ641" s="166">
        <v>1060</v>
      </c>
      <c r="CA641" s="166">
        <v>1060</v>
      </c>
      <c r="CC641" s="753"/>
      <c r="CE641" s="166">
        <v>1060</v>
      </c>
      <c r="CF641" s="166"/>
      <c r="CO641" s="16"/>
    </row>
    <row r="642" spans="1:93" x14ac:dyDescent="0.3">
      <c r="A642" s="11">
        <v>492</v>
      </c>
      <c r="B642" s="3" t="s">
        <v>2</v>
      </c>
      <c r="C642" s="37">
        <v>49205</v>
      </c>
      <c r="D642" s="37">
        <v>52400</v>
      </c>
      <c r="E642" s="49" t="s">
        <v>118</v>
      </c>
      <c r="F642" s="3" t="s">
        <v>2</v>
      </c>
      <c r="G642" s="3" t="s">
        <v>247</v>
      </c>
      <c r="H642" s="26">
        <v>4000</v>
      </c>
      <c r="I642" s="244"/>
      <c r="J642" s="16">
        <f t="shared" si="312"/>
        <v>4000</v>
      </c>
      <c r="K642" s="122">
        <f t="shared" si="313"/>
        <v>0</v>
      </c>
      <c r="M642" s="117">
        <v>4000</v>
      </c>
      <c r="N642" s="117">
        <v>4000</v>
      </c>
      <c r="P642" s="259"/>
      <c r="R642" s="26">
        <v>4000</v>
      </c>
      <c r="S642" s="26">
        <v>4472.07</v>
      </c>
      <c r="U642" s="26">
        <v>4000</v>
      </c>
      <c r="V642" s="244"/>
      <c r="W642" s="16">
        <f t="shared" si="314"/>
        <v>4000</v>
      </c>
      <c r="X642" s="122">
        <f t="shared" si="315"/>
        <v>0</v>
      </c>
      <c r="Z642" s="117">
        <v>4000</v>
      </c>
      <c r="AA642" s="117">
        <v>4000</v>
      </c>
      <c r="AC642" s="259"/>
      <c r="AE642" s="26">
        <v>4000</v>
      </c>
      <c r="AF642" s="200">
        <v>3040.24</v>
      </c>
      <c r="AH642" s="26">
        <v>4000</v>
      </c>
      <c r="AI642" s="244"/>
      <c r="AJ642" s="16">
        <f t="shared" si="316"/>
        <v>4000</v>
      </c>
      <c r="AK642" s="122">
        <f t="shared" si="317"/>
        <v>0</v>
      </c>
      <c r="AM642" s="117">
        <v>4000</v>
      </c>
      <c r="AN642" s="117">
        <v>4000</v>
      </c>
      <c r="AP642" s="259"/>
      <c r="AR642" s="26">
        <v>4000</v>
      </c>
      <c r="AS642" s="26">
        <v>8487.49</v>
      </c>
      <c r="AU642" s="26">
        <f t="shared" si="318"/>
        <v>4000</v>
      </c>
      <c r="AV642" s="244"/>
      <c r="AW642" s="16">
        <f t="shared" si="319"/>
        <v>4000</v>
      </c>
      <c r="AX642" s="122">
        <f t="shared" si="320"/>
        <v>0</v>
      </c>
      <c r="AZ642" s="117">
        <v>4000</v>
      </c>
      <c r="BA642" s="117">
        <v>4000</v>
      </c>
      <c r="BC642" s="259"/>
      <c r="BE642" s="26">
        <v>4000</v>
      </c>
      <c r="BF642" s="26">
        <v>3801.85</v>
      </c>
      <c r="BH642" s="26">
        <v>4000</v>
      </c>
      <c r="BI642" s="244"/>
      <c r="BJ642" s="16">
        <f t="shared" si="321"/>
        <v>4000</v>
      </c>
      <c r="BK642" s="122">
        <f t="shared" si="322"/>
        <v>0</v>
      </c>
      <c r="BM642" s="117">
        <v>4000</v>
      </c>
      <c r="BN642" s="117">
        <v>4000</v>
      </c>
      <c r="BP642" s="259"/>
      <c r="BR642" s="117">
        <v>4000</v>
      </c>
      <c r="BS642" s="26">
        <v>931.49</v>
      </c>
      <c r="BU642" s="26">
        <v>4000</v>
      </c>
      <c r="BV642" s="244"/>
      <c r="BW642" s="576">
        <f t="shared" si="323"/>
        <v>4000</v>
      </c>
      <c r="BX642" s="577">
        <f t="shared" si="324"/>
        <v>0</v>
      </c>
      <c r="BZ642" s="166">
        <v>4000</v>
      </c>
      <c r="CA642" s="166">
        <v>4000</v>
      </c>
      <c r="CC642" s="753"/>
      <c r="CE642" s="166">
        <v>4000</v>
      </c>
      <c r="CF642" s="166"/>
      <c r="CO642" s="16"/>
    </row>
    <row r="643" spans="1:93" x14ac:dyDescent="0.3">
      <c r="A643" s="11">
        <v>492</v>
      </c>
      <c r="B643" s="3" t="s">
        <v>2</v>
      </c>
      <c r="C643" s="37">
        <v>49205</v>
      </c>
      <c r="D643" s="37">
        <v>52450</v>
      </c>
      <c r="E643" s="49" t="s">
        <v>118</v>
      </c>
      <c r="F643" s="3" t="s">
        <v>2</v>
      </c>
      <c r="G643" s="3" t="s">
        <v>246</v>
      </c>
      <c r="H643" s="26">
        <v>5000</v>
      </c>
      <c r="I643" s="244"/>
      <c r="J643" s="16">
        <f t="shared" si="312"/>
        <v>5000</v>
      </c>
      <c r="K643" s="122">
        <f t="shared" si="313"/>
        <v>0</v>
      </c>
      <c r="M643" s="117">
        <v>5000</v>
      </c>
      <c r="N643" s="117">
        <v>5000</v>
      </c>
      <c r="P643" s="259"/>
      <c r="R643" s="26">
        <v>5000</v>
      </c>
      <c r="S643" s="26">
        <v>6668.39</v>
      </c>
      <c r="U643" s="26">
        <v>5000</v>
      </c>
      <c r="V643" s="244"/>
      <c r="W643" s="16">
        <f t="shared" si="314"/>
        <v>5000</v>
      </c>
      <c r="X643" s="122">
        <f t="shared" si="315"/>
        <v>0</v>
      </c>
      <c r="Z643" s="117">
        <v>5000</v>
      </c>
      <c r="AA643" s="117">
        <v>5000</v>
      </c>
      <c r="AC643" s="259" t="s">
        <v>745</v>
      </c>
      <c r="AE643" s="26">
        <v>5000</v>
      </c>
      <c r="AF643" s="200">
        <v>4993.05</v>
      </c>
      <c r="AH643" s="26">
        <v>5000</v>
      </c>
      <c r="AI643" s="244"/>
      <c r="AJ643" s="16">
        <f t="shared" si="316"/>
        <v>5000</v>
      </c>
      <c r="AK643" s="122">
        <f t="shared" si="317"/>
        <v>0</v>
      </c>
      <c r="AM643" s="117">
        <v>5000</v>
      </c>
      <c r="AN643" s="117">
        <v>5000</v>
      </c>
      <c r="AP643" s="259"/>
      <c r="AR643" s="26">
        <v>5000</v>
      </c>
      <c r="AS643" s="26">
        <v>10326.18</v>
      </c>
      <c r="AU643" s="26">
        <f t="shared" si="318"/>
        <v>5000</v>
      </c>
      <c r="AV643" s="244"/>
      <c r="AW643" s="16">
        <f t="shared" si="319"/>
        <v>5000</v>
      </c>
      <c r="AX643" s="122">
        <f t="shared" si="320"/>
        <v>0</v>
      </c>
      <c r="AZ643" s="117">
        <v>5000</v>
      </c>
      <c r="BA643" s="117">
        <v>5000</v>
      </c>
      <c r="BC643" s="259"/>
      <c r="BE643" s="26">
        <v>5000</v>
      </c>
      <c r="BF643" s="26">
        <v>8766.52</v>
      </c>
      <c r="BH643" s="26">
        <v>5000</v>
      </c>
      <c r="BI643" s="244"/>
      <c r="BJ643" s="16">
        <f t="shared" si="321"/>
        <v>5000</v>
      </c>
      <c r="BK643" s="122">
        <f t="shared" si="322"/>
        <v>0</v>
      </c>
      <c r="BM643" s="117">
        <v>5000</v>
      </c>
      <c r="BN643" s="117">
        <f>5000+3000</f>
        <v>8000</v>
      </c>
      <c r="BP643" s="266" t="s">
        <v>1200</v>
      </c>
      <c r="BR643" s="117">
        <f>5000+3000</f>
        <v>8000</v>
      </c>
      <c r="BS643" s="26">
        <v>5662.14</v>
      </c>
      <c r="BU643" s="26">
        <f>5000+3000</f>
        <v>8000</v>
      </c>
      <c r="BV643" s="244"/>
      <c r="BW643" s="576">
        <f t="shared" si="323"/>
        <v>8000</v>
      </c>
      <c r="BX643" s="577">
        <f t="shared" si="324"/>
        <v>0</v>
      </c>
      <c r="BZ643" s="166">
        <v>8000</v>
      </c>
      <c r="CA643" s="166">
        <v>8000</v>
      </c>
      <c r="CC643" s="753"/>
      <c r="CE643" s="166">
        <v>8000</v>
      </c>
      <c r="CF643" s="166"/>
      <c r="CO643" s="16"/>
    </row>
    <row r="644" spans="1:93" x14ac:dyDescent="0.3">
      <c r="A644" s="11">
        <v>492</v>
      </c>
      <c r="B644" s="3" t="s">
        <v>2</v>
      </c>
      <c r="C644" s="37">
        <v>49205</v>
      </c>
      <c r="D644" s="37">
        <v>52720</v>
      </c>
      <c r="E644" s="49" t="s">
        <v>118</v>
      </c>
      <c r="F644" s="3" t="s">
        <v>2</v>
      </c>
      <c r="G644" s="3" t="s">
        <v>245</v>
      </c>
      <c r="H644" s="26">
        <v>1794</v>
      </c>
      <c r="I644" s="244"/>
      <c r="J644" s="16">
        <f t="shared" si="312"/>
        <v>1794</v>
      </c>
      <c r="K644" s="122">
        <f t="shared" si="313"/>
        <v>0</v>
      </c>
      <c r="M644" s="117">
        <v>1794</v>
      </c>
      <c r="N644" s="117">
        <v>1794</v>
      </c>
      <c r="P644" s="259"/>
      <c r="R644" s="26">
        <v>1794</v>
      </c>
      <c r="S644" s="26">
        <v>675</v>
      </c>
      <c r="U644" s="26">
        <v>1794</v>
      </c>
      <c r="V644" s="244"/>
      <c r="W644" s="16">
        <f t="shared" si="314"/>
        <v>1794</v>
      </c>
      <c r="X644" s="122">
        <f t="shared" si="315"/>
        <v>0</v>
      </c>
      <c r="Z644" s="117">
        <v>1794</v>
      </c>
      <c r="AA644" s="117">
        <v>1794</v>
      </c>
      <c r="AC644" s="259"/>
      <c r="AE644" s="26">
        <v>1794</v>
      </c>
      <c r="AF644" s="200">
        <v>0</v>
      </c>
      <c r="AH644" s="26">
        <v>1794</v>
      </c>
      <c r="AI644" s="244"/>
      <c r="AJ644" s="16">
        <f t="shared" si="316"/>
        <v>1794</v>
      </c>
      <c r="AK644" s="122">
        <f t="shared" si="317"/>
        <v>0</v>
      </c>
      <c r="AM644" s="117">
        <v>1794</v>
      </c>
      <c r="AN644" s="117">
        <v>1794</v>
      </c>
      <c r="AP644" s="259"/>
      <c r="AR644" s="26">
        <v>1794</v>
      </c>
      <c r="AS644" s="26">
        <v>0</v>
      </c>
      <c r="AU644" s="26">
        <f t="shared" si="318"/>
        <v>1794</v>
      </c>
      <c r="AV644" s="244"/>
      <c r="AW644" s="16">
        <f t="shared" si="319"/>
        <v>1794</v>
      </c>
      <c r="AX644" s="122">
        <f t="shared" si="320"/>
        <v>0</v>
      </c>
      <c r="AZ644" s="117">
        <v>1794</v>
      </c>
      <c r="BA644" s="117">
        <v>1794</v>
      </c>
      <c r="BC644" s="259"/>
      <c r="BE644" s="26">
        <v>1794</v>
      </c>
      <c r="BF644" s="26">
        <v>0</v>
      </c>
      <c r="BH644" s="26">
        <v>1794</v>
      </c>
      <c r="BI644" s="244"/>
      <c r="BJ644" s="16">
        <f t="shared" si="321"/>
        <v>1794</v>
      </c>
      <c r="BK644" s="122">
        <f t="shared" si="322"/>
        <v>0</v>
      </c>
      <c r="BM644" s="117">
        <v>1794</v>
      </c>
      <c r="BN644" s="117">
        <v>1794</v>
      </c>
      <c r="BP644" s="259"/>
      <c r="BR644" s="117">
        <v>1794</v>
      </c>
      <c r="BS644" s="26">
        <v>0</v>
      </c>
      <c r="BU644" s="26">
        <v>1794</v>
      </c>
      <c r="BV644" s="244"/>
      <c r="BW644" s="576">
        <f t="shared" si="323"/>
        <v>1794</v>
      </c>
      <c r="BX644" s="577">
        <f t="shared" si="324"/>
        <v>0</v>
      </c>
      <c r="BZ644" s="166">
        <v>1794</v>
      </c>
      <c r="CA644" s="166">
        <v>1794</v>
      </c>
      <c r="CC644" s="753"/>
      <c r="CE644" s="166">
        <v>1794</v>
      </c>
      <c r="CF644" s="166"/>
      <c r="CO644" s="16"/>
    </row>
    <row r="645" spans="1:93" x14ac:dyDescent="0.3">
      <c r="A645" s="11">
        <v>492</v>
      </c>
      <c r="B645" s="3" t="s">
        <v>2</v>
      </c>
      <c r="C645" s="37">
        <v>49205</v>
      </c>
      <c r="D645" s="37">
        <v>52920</v>
      </c>
      <c r="E645" s="49" t="s">
        <v>118</v>
      </c>
      <c r="F645" s="3" t="s">
        <v>2</v>
      </c>
      <c r="G645" s="3" t="s">
        <v>937</v>
      </c>
      <c r="H645" s="26"/>
      <c r="I645" s="244"/>
      <c r="M645" s="117"/>
      <c r="N645" s="117"/>
      <c r="P645" s="259"/>
      <c r="R645" s="26"/>
      <c r="S645" s="26"/>
      <c r="U645" s="26"/>
      <c r="V645" s="244"/>
      <c r="Z645" s="117"/>
      <c r="AA645" s="117">
        <v>1000</v>
      </c>
      <c r="AC645" s="259" t="s">
        <v>750</v>
      </c>
      <c r="AE645" s="26">
        <v>1000</v>
      </c>
      <c r="AF645" s="200">
        <v>270</v>
      </c>
      <c r="AH645" s="26">
        <v>1000</v>
      </c>
      <c r="AI645" s="244"/>
      <c r="AJ645" s="16">
        <f t="shared" si="316"/>
        <v>1000</v>
      </c>
      <c r="AM645" s="117">
        <v>1000</v>
      </c>
      <c r="AN645" s="117">
        <v>1000</v>
      </c>
      <c r="AO645" s="178"/>
      <c r="AP645" s="266"/>
      <c r="AR645" s="26">
        <v>1000</v>
      </c>
      <c r="AS645" s="26">
        <v>665</v>
      </c>
      <c r="AU645" s="26">
        <f t="shared" si="318"/>
        <v>1000</v>
      </c>
      <c r="AV645" s="244"/>
      <c r="AW645" s="16">
        <f t="shared" si="319"/>
        <v>1000</v>
      </c>
      <c r="AZ645" s="117">
        <v>1000</v>
      </c>
      <c r="BA645" s="117">
        <v>1000</v>
      </c>
      <c r="BB645" s="178"/>
      <c r="BC645" s="266"/>
      <c r="BE645" s="26">
        <v>1000</v>
      </c>
      <c r="BF645" s="26">
        <v>785.45</v>
      </c>
      <c r="BH645" s="26">
        <v>1000</v>
      </c>
      <c r="BI645" s="244"/>
      <c r="BJ645" s="16">
        <f t="shared" si="321"/>
        <v>1000</v>
      </c>
      <c r="BM645" s="117">
        <v>1000</v>
      </c>
      <c r="BN645" s="117">
        <v>1000</v>
      </c>
      <c r="BO645" s="178"/>
      <c r="BP645" s="259"/>
      <c r="BR645" s="117">
        <v>1000</v>
      </c>
      <c r="BS645" s="26">
        <v>135</v>
      </c>
      <c r="BU645" s="26">
        <v>1000</v>
      </c>
      <c r="BV645" s="244"/>
      <c r="BW645" s="576">
        <f t="shared" si="323"/>
        <v>1000</v>
      </c>
      <c r="BZ645" s="166">
        <v>1000</v>
      </c>
      <c r="CA645" s="166">
        <v>1000</v>
      </c>
      <c r="CC645" s="753"/>
      <c r="CE645" s="166">
        <v>1000</v>
      </c>
      <c r="CF645" s="166"/>
      <c r="CO645" s="16"/>
    </row>
    <row r="646" spans="1:93" x14ac:dyDescent="0.3">
      <c r="A646" s="11">
        <v>492</v>
      </c>
      <c r="B646" s="3" t="s">
        <v>2</v>
      </c>
      <c r="C646" s="37">
        <v>49205</v>
      </c>
      <c r="D646" s="37">
        <v>53050</v>
      </c>
      <c r="E646" s="49" t="s">
        <v>118</v>
      </c>
      <c r="F646" s="3" t="s">
        <v>2</v>
      </c>
      <c r="G646" s="3" t="s">
        <v>244</v>
      </c>
      <c r="H646" s="26">
        <v>600</v>
      </c>
      <c r="I646" s="244"/>
      <c r="J646" s="16">
        <f t="shared" si="312"/>
        <v>600</v>
      </c>
      <c r="K646" s="122">
        <f t="shared" si="313"/>
        <v>0</v>
      </c>
      <c r="M646" s="117">
        <v>600</v>
      </c>
      <c r="N646" s="117">
        <v>600</v>
      </c>
      <c r="P646" s="259"/>
      <c r="R646" s="26">
        <v>600</v>
      </c>
      <c r="S646" s="26">
        <v>0</v>
      </c>
      <c r="U646" s="26">
        <v>600</v>
      </c>
      <c r="V646" s="244"/>
      <c r="W646" s="16">
        <f t="shared" si="314"/>
        <v>600</v>
      </c>
      <c r="X646" s="122">
        <f t="shared" si="315"/>
        <v>0</v>
      </c>
      <c r="Z646" s="117">
        <v>600</v>
      </c>
      <c r="AA646" s="117">
        <v>600</v>
      </c>
      <c r="AC646" s="259"/>
      <c r="AE646" s="26">
        <v>600</v>
      </c>
      <c r="AF646" s="200">
        <v>0</v>
      </c>
      <c r="AH646" s="26">
        <v>600</v>
      </c>
      <c r="AI646" s="244"/>
      <c r="AJ646" s="16">
        <f t="shared" si="316"/>
        <v>600</v>
      </c>
      <c r="AK646" s="122">
        <f t="shared" ref="AK646:AK666" si="325">IF(AH646=0," ",(AJ646-AH646)/AH646)</f>
        <v>0</v>
      </c>
      <c r="AM646" s="117">
        <v>600</v>
      </c>
      <c r="AN646" s="117">
        <v>600</v>
      </c>
      <c r="AP646" s="259"/>
      <c r="AR646" s="26">
        <v>600</v>
      </c>
      <c r="AS646" s="26">
        <v>0</v>
      </c>
      <c r="AU646" s="26">
        <f t="shared" si="318"/>
        <v>600</v>
      </c>
      <c r="AV646" s="244"/>
      <c r="AW646" s="16">
        <f t="shared" si="319"/>
        <v>600</v>
      </c>
      <c r="AX646" s="122">
        <f t="shared" ref="AX646:AX666" si="326">IF(AU646=0," ",(AW646-AU646)/AU646)</f>
        <v>0</v>
      </c>
      <c r="AZ646" s="117">
        <v>600</v>
      </c>
      <c r="BA646" s="117">
        <v>600</v>
      </c>
      <c r="BC646" s="259"/>
      <c r="BE646" s="26">
        <v>600</v>
      </c>
      <c r="BF646" s="26">
        <v>0</v>
      </c>
      <c r="BH646" s="26">
        <v>600</v>
      </c>
      <c r="BI646" s="244"/>
      <c r="BJ646" s="16">
        <f t="shared" si="321"/>
        <v>600</v>
      </c>
      <c r="BK646" s="122">
        <f>IF(BH646=0," ",(BJ646-BH646)/BH646)</f>
        <v>0</v>
      </c>
      <c r="BM646" s="117">
        <v>600</v>
      </c>
      <c r="BN646" s="117">
        <v>600</v>
      </c>
      <c r="BP646" s="259"/>
      <c r="BR646" s="117">
        <v>600</v>
      </c>
      <c r="BS646" s="26"/>
      <c r="BU646" s="26">
        <v>600</v>
      </c>
      <c r="BV646" s="244">
        <v>-600</v>
      </c>
      <c r="BW646" s="576">
        <f t="shared" si="323"/>
        <v>0</v>
      </c>
      <c r="BX646" s="577">
        <f>IF(BU646=0," ",(BW646-BU646)/BU646)</f>
        <v>-1</v>
      </c>
      <c r="BZ646" s="166">
        <v>0</v>
      </c>
      <c r="CA646" s="166">
        <v>0</v>
      </c>
      <c r="CC646" s="755" t="s">
        <v>1372</v>
      </c>
      <c r="CE646" s="166">
        <v>0</v>
      </c>
      <c r="CF646" s="166"/>
      <c r="CO646" s="16"/>
    </row>
    <row r="647" spans="1:93" x14ac:dyDescent="0.3">
      <c r="A647" s="11">
        <v>492</v>
      </c>
      <c r="B647" s="3" t="s">
        <v>2</v>
      </c>
      <c r="C647" s="37">
        <v>49205</v>
      </c>
      <c r="D647" s="37">
        <v>53200</v>
      </c>
      <c r="E647" s="49" t="s">
        <v>118</v>
      </c>
      <c r="F647" s="3" t="s">
        <v>2</v>
      </c>
      <c r="G647" s="3" t="s">
        <v>251</v>
      </c>
      <c r="H647" s="26">
        <v>200</v>
      </c>
      <c r="I647" s="244"/>
      <c r="J647" s="16">
        <f>H647+I647</f>
        <v>200</v>
      </c>
      <c r="K647" s="122">
        <f>IF(H647=0," ",(J647-H647)/H647)</f>
        <v>0</v>
      </c>
      <c r="M647" s="117">
        <v>200</v>
      </c>
      <c r="N647" s="117">
        <v>200</v>
      </c>
      <c r="P647" s="259"/>
      <c r="R647" s="26">
        <v>200</v>
      </c>
      <c r="S647" s="26">
        <v>446.38</v>
      </c>
      <c r="U647" s="26">
        <v>200</v>
      </c>
      <c r="V647" s="244"/>
      <c r="W647" s="16">
        <f>U647+V647</f>
        <v>200</v>
      </c>
      <c r="X647" s="122">
        <f>IF(U647=0," ",(W647-U647)/U647)</f>
        <v>0</v>
      </c>
      <c r="Z647" s="117">
        <v>200</v>
      </c>
      <c r="AA647" s="117">
        <v>200</v>
      </c>
      <c r="AC647" s="259"/>
      <c r="AE647" s="26">
        <v>200</v>
      </c>
      <c r="AF647" s="200">
        <v>360</v>
      </c>
      <c r="AH647" s="26">
        <v>200</v>
      </c>
      <c r="AI647" s="244"/>
      <c r="AJ647" s="16">
        <f>AH647+AI647</f>
        <v>200</v>
      </c>
      <c r="AK647" s="122">
        <f>IF(AH647=0," ",(AJ647-AH647)/AH647)</f>
        <v>0</v>
      </c>
      <c r="AM647" s="117">
        <v>200</v>
      </c>
      <c r="AN647" s="117">
        <v>200</v>
      </c>
      <c r="AP647" s="259"/>
      <c r="AR647" s="26">
        <v>200</v>
      </c>
      <c r="AS647" s="26">
        <v>390</v>
      </c>
      <c r="AU647" s="26">
        <f t="shared" si="318"/>
        <v>200</v>
      </c>
      <c r="AV647" s="244"/>
      <c r="AW647" s="16">
        <f>AU647+AV647</f>
        <v>200</v>
      </c>
      <c r="AX647" s="122">
        <f>IF(AU647=0," ",(AW647-AU647)/AU647)</f>
        <v>0</v>
      </c>
      <c r="AZ647" s="117">
        <v>200</v>
      </c>
      <c r="BA647" s="117">
        <v>200</v>
      </c>
      <c r="BC647" s="259"/>
      <c r="BE647" s="26">
        <v>200</v>
      </c>
      <c r="BF647" s="26">
        <v>146.41</v>
      </c>
      <c r="BH647" s="26">
        <v>200</v>
      </c>
      <c r="BI647" s="244"/>
      <c r="BJ647" s="16">
        <f>BH647+BI647</f>
        <v>200</v>
      </c>
      <c r="BK647" s="122">
        <f>IF(BH647=0," ",(BJ647-BH647)/BH647)</f>
        <v>0</v>
      </c>
      <c r="BM647" s="117">
        <v>200</v>
      </c>
      <c r="BN647" s="117">
        <v>200</v>
      </c>
      <c r="BP647" s="259"/>
      <c r="BR647" s="117">
        <v>200</v>
      </c>
      <c r="BS647" s="26">
        <v>195</v>
      </c>
      <c r="BU647" s="26">
        <v>200</v>
      </c>
      <c r="BV647" s="244"/>
      <c r="BW647" s="576">
        <f>BU647+BV647</f>
        <v>200</v>
      </c>
      <c r="BX647" s="577">
        <f>IF(BU647=0," ",(BW647-BU647)/BU647)</f>
        <v>0</v>
      </c>
      <c r="BZ647" s="166">
        <v>200</v>
      </c>
      <c r="CA647" s="166">
        <v>200</v>
      </c>
      <c r="CC647" s="753"/>
      <c r="CE647" s="166">
        <v>200</v>
      </c>
      <c r="CF647" s="166"/>
      <c r="CO647" s="16"/>
    </row>
    <row r="648" spans="1:93" x14ac:dyDescent="0.3">
      <c r="A648" s="11">
        <v>492</v>
      </c>
      <c r="B648" s="3" t="s">
        <v>2</v>
      </c>
      <c r="C648" s="37">
        <v>49205</v>
      </c>
      <c r="D648" s="37">
        <v>53400</v>
      </c>
      <c r="E648" s="49" t="s">
        <v>118</v>
      </c>
      <c r="F648" s="3" t="s">
        <v>2</v>
      </c>
      <c r="G648" s="3" t="s">
        <v>243</v>
      </c>
      <c r="H648" s="26">
        <v>0</v>
      </c>
      <c r="I648" s="244"/>
      <c r="J648" s="16">
        <f t="shared" si="312"/>
        <v>0</v>
      </c>
      <c r="K648" s="122" t="str">
        <f t="shared" si="313"/>
        <v xml:space="preserve"> </v>
      </c>
      <c r="M648" s="117">
        <v>0</v>
      </c>
      <c r="N648" s="117">
        <v>0</v>
      </c>
      <c r="P648" s="259"/>
      <c r="R648" s="26">
        <v>0</v>
      </c>
      <c r="S648" s="26">
        <v>909.31</v>
      </c>
      <c r="U648" s="26">
        <v>0</v>
      </c>
      <c r="V648" s="244"/>
      <c r="W648" s="16">
        <f t="shared" si="314"/>
        <v>0</v>
      </c>
      <c r="X648" s="122" t="str">
        <f t="shared" si="315"/>
        <v xml:space="preserve"> </v>
      </c>
      <c r="Z648" s="117">
        <v>0</v>
      </c>
      <c r="AA648" s="117">
        <v>0</v>
      </c>
      <c r="AC648" s="259"/>
      <c r="AE648" s="26">
        <v>0</v>
      </c>
      <c r="AF648" s="200">
        <v>1918.27</v>
      </c>
      <c r="AH648" s="26">
        <v>0</v>
      </c>
      <c r="AI648" s="244"/>
      <c r="AJ648" s="16">
        <f t="shared" si="316"/>
        <v>0</v>
      </c>
      <c r="AK648" s="122" t="str">
        <f t="shared" si="325"/>
        <v xml:space="preserve"> </v>
      </c>
      <c r="AM648" s="117">
        <v>0</v>
      </c>
      <c r="AN648" s="117">
        <v>0</v>
      </c>
      <c r="AP648" s="259"/>
      <c r="AR648" s="26">
        <v>0</v>
      </c>
      <c r="AS648" s="26">
        <v>2234.92</v>
      </c>
      <c r="AU648" s="26">
        <f t="shared" si="318"/>
        <v>0</v>
      </c>
      <c r="AV648" s="244"/>
      <c r="AW648" s="16">
        <f t="shared" si="319"/>
        <v>0</v>
      </c>
      <c r="AX648" s="122" t="str">
        <f t="shared" si="326"/>
        <v xml:space="preserve"> </v>
      </c>
      <c r="AZ648" s="117">
        <v>0</v>
      </c>
      <c r="BA648" s="117">
        <v>0</v>
      </c>
      <c r="BC648" s="259"/>
      <c r="BE648" s="26">
        <v>0</v>
      </c>
      <c r="BF648" s="26">
        <v>1216.54</v>
      </c>
      <c r="BH648" s="26">
        <v>0</v>
      </c>
      <c r="BI648" s="244"/>
      <c r="BJ648" s="16">
        <f t="shared" ref="BJ648:BJ666" si="327">BH648+BI648</f>
        <v>0</v>
      </c>
      <c r="BK648" s="122" t="str">
        <f t="shared" ref="BK648:BK666" si="328">IF(BH648=0," ",(BJ648-BH648)/BH648)</f>
        <v xml:space="preserve"> </v>
      </c>
      <c r="BM648" s="117">
        <v>0</v>
      </c>
      <c r="BN648" s="117">
        <v>0</v>
      </c>
      <c r="BP648" s="259"/>
      <c r="BR648" s="117">
        <v>0</v>
      </c>
      <c r="BS648" s="26">
        <v>391.05</v>
      </c>
      <c r="BU648" s="26">
        <v>0</v>
      </c>
      <c r="BV648" s="244">
        <v>1650</v>
      </c>
      <c r="BW648" s="576">
        <f t="shared" ref="BW648:BW666" si="329">BU648+BV648</f>
        <v>1650</v>
      </c>
      <c r="BX648" s="577" t="str">
        <f t="shared" ref="BX648:BX666" si="330">IF(BU648=0," ",(BW648-BU648)/BU648)</f>
        <v xml:space="preserve"> </v>
      </c>
      <c r="BZ648" s="166">
        <v>1650</v>
      </c>
      <c r="CA648" s="166">
        <v>1650</v>
      </c>
      <c r="CC648" s="755" t="s">
        <v>1372</v>
      </c>
      <c r="CE648" s="166">
        <v>1650</v>
      </c>
      <c r="CF648" s="166"/>
      <c r="CO648" s="16"/>
    </row>
    <row r="649" spans="1:93" x14ac:dyDescent="0.3">
      <c r="A649" s="11">
        <v>492</v>
      </c>
      <c r="B649" s="3" t="s">
        <v>2</v>
      </c>
      <c r="C649" s="37">
        <v>49205</v>
      </c>
      <c r="D649" s="37">
        <v>53430</v>
      </c>
      <c r="E649" s="49" t="s">
        <v>118</v>
      </c>
      <c r="F649" s="3" t="s">
        <v>2</v>
      </c>
      <c r="G649" s="3" t="s">
        <v>242</v>
      </c>
      <c r="H649" s="26">
        <v>150</v>
      </c>
      <c r="I649" s="244"/>
      <c r="J649" s="16">
        <f t="shared" si="312"/>
        <v>150</v>
      </c>
      <c r="K649" s="122">
        <f t="shared" si="313"/>
        <v>0</v>
      </c>
      <c r="M649" s="117">
        <v>150</v>
      </c>
      <c r="N649" s="117">
        <v>150</v>
      </c>
      <c r="P649" s="259"/>
      <c r="R649" s="26">
        <v>150</v>
      </c>
      <c r="S649" s="26">
        <v>32.86</v>
      </c>
      <c r="U649" s="26">
        <v>150</v>
      </c>
      <c r="V649" s="244"/>
      <c r="W649" s="16">
        <f t="shared" si="314"/>
        <v>150</v>
      </c>
      <c r="X649" s="122">
        <f t="shared" si="315"/>
        <v>0</v>
      </c>
      <c r="Z649" s="117">
        <v>150</v>
      </c>
      <c r="AA649" s="117">
        <v>150</v>
      </c>
      <c r="AC649" s="259"/>
      <c r="AE649" s="26">
        <v>150</v>
      </c>
      <c r="AF649" s="200">
        <v>30.55</v>
      </c>
      <c r="AH649" s="26">
        <v>150</v>
      </c>
      <c r="AI649" s="244"/>
      <c r="AJ649" s="16">
        <f t="shared" si="316"/>
        <v>150</v>
      </c>
      <c r="AK649" s="122">
        <f t="shared" si="325"/>
        <v>0</v>
      </c>
      <c r="AM649" s="117">
        <v>150</v>
      </c>
      <c r="AN649" s="117">
        <v>150</v>
      </c>
      <c r="AP649" s="259"/>
      <c r="AR649" s="26">
        <v>150</v>
      </c>
      <c r="AS649" s="26">
        <v>11.3</v>
      </c>
      <c r="AU649" s="26">
        <f t="shared" si="318"/>
        <v>150</v>
      </c>
      <c r="AV649" s="244"/>
      <c r="AW649" s="16">
        <f t="shared" si="319"/>
        <v>150</v>
      </c>
      <c r="AX649" s="122">
        <f t="shared" si="326"/>
        <v>0</v>
      </c>
      <c r="AZ649" s="117">
        <v>150</v>
      </c>
      <c r="BA649" s="117">
        <v>150</v>
      </c>
      <c r="BC649" s="259"/>
      <c r="BE649" s="26">
        <v>150</v>
      </c>
      <c r="BF649" s="26">
        <v>55</v>
      </c>
      <c r="BH649" s="26">
        <v>150</v>
      </c>
      <c r="BI649" s="244"/>
      <c r="BJ649" s="16">
        <f t="shared" si="327"/>
        <v>150</v>
      </c>
      <c r="BK649" s="122">
        <f t="shared" si="328"/>
        <v>0</v>
      </c>
      <c r="BM649" s="117">
        <v>150</v>
      </c>
      <c r="BN649" s="117">
        <v>150</v>
      </c>
      <c r="BP649" s="259"/>
      <c r="BR649" s="117">
        <v>150</v>
      </c>
      <c r="BS649" s="26"/>
      <c r="BU649" s="26">
        <v>150</v>
      </c>
      <c r="BV649" s="244"/>
      <c r="BW649" s="576">
        <f t="shared" si="329"/>
        <v>150</v>
      </c>
      <c r="BX649" s="577">
        <f t="shared" si="330"/>
        <v>0</v>
      </c>
      <c r="BZ649" s="166">
        <v>150</v>
      </c>
      <c r="CA649" s="166">
        <v>150</v>
      </c>
      <c r="CC649" s="753"/>
      <c r="CE649" s="166">
        <v>150</v>
      </c>
      <c r="CF649" s="166"/>
      <c r="CO649" s="16"/>
    </row>
    <row r="650" spans="1:93" x14ac:dyDescent="0.3">
      <c r="A650" s="11">
        <v>492</v>
      </c>
      <c r="B650" s="3" t="s">
        <v>2</v>
      </c>
      <c r="C650" s="37">
        <v>49205</v>
      </c>
      <c r="D650" s="37">
        <v>53450</v>
      </c>
      <c r="E650" s="49" t="s">
        <v>118</v>
      </c>
      <c r="F650" s="3" t="s">
        <v>2</v>
      </c>
      <c r="G650" s="3" t="s">
        <v>241</v>
      </c>
      <c r="H650" s="26">
        <v>100</v>
      </c>
      <c r="I650" s="244"/>
      <c r="J650" s="16">
        <f t="shared" si="312"/>
        <v>100</v>
      </c>
      <c r="K650" s="122">
        <f t="shared" si="313"/>
        <v>0</v>
      </c>
      <c r="M650" s="117">
        <v>100</v>
      </c>
      <c r="N650" s="117">
        <v>100</v>
      </c>
      <c r="P650" s="259"/>
      <c r="R650" s="26">
        <v>100</v>
      </c>
      <c r="S650" s="26">
        <v>0</v>
      </c>
      <c r="U650" s="26">
        <v>100</v>
      </c>
      <c r="V650" s="244"/>
      <c r="W650" s="16">
        <f t="shared" si="314"/>
        <v>100</v>
      </c>
      <c r="X650" s="122">
        <f t="shared" si="315"/>
        <v>0</v>
      </c>
      <c r="Z650" s="117">
        <v>100</v>
      </c>
      <c r="AA650" s="117">
        <v>100</v>
      </c>
      <c r="AC650" s="259"/>
      <c r="AE650" s="26">
        <v>100</v>
      </c>
      <c r="AF650" s="200">
        <v>0</v>
      </c>
      <c r="AH650" s="26">
        <v>100</v>
      </c>
      <c r="AI650" s="244"/>
      <c r="AJ650" s="16">
        <f t="shared" si="316"/>
        <v>100</v>
      </c>
      <c r="AK650" s="122">
        <f t="shared" si="325"/>
        <v>0</v>
      </c>
      <c r="AM650" s="117">
        <v>100</v>
      </c>
      <c r="AN650" s="117">
        <v>100</v>
      </c>
      <c r="AP650" s="259"/>
      <c r="AR650" s="26">
        <v>100</v>
      </c>
      <c r="AS650" s="26">
        <v>0</v>
      </c>
      <c r="AU650" s="26">
        <f t="shared" si="318"/>
        <v>100</v>
      </c>
      <c r="AV650" s="244"/>
      <c r="AW650" s="16">
        <f t="shared" si="319"/>
        <v>100</v>
      </c>
      <c r="AX650" s="122">
        <f t="shared" si="326"/>
        <v>0</v>
      </c>
      <c r="AZ650" s="117">
        <v>100</v>
      </c>
      <c r="BA650" s="117">
        <v>100</v>
      </c>
      <c r="BC650" s="259"/>
      <c r="BE650" s="26">
        <v>100</v>
      </c>
      <c r="BF650" s="26">
        <v>0</v>
      </c>
      <c r="BH650" s="26">
        <v>100</v>
      </c>
      <c r="BI650" s="244"/>
      <c r="BJ650" s="16">
        <f t="shared" si="327"/>
        <v>100</v>
      </c>
      <c r="BK650" s="122">
        <f t="shared" si="328"/>
        <v>0</v>
      </c>
      <c r="BM650" s="117">
        <v>100</v>
      </c>
      <c r="BN650" s="117">
        <v>100</v>
      </c>
      <c r="BP650" s="259"/>
      <c r="BR650" s="117">
        <v>100</v>
      </c>
      <c r="BS650" s="26"/>
      <c r="BU650" s="26">
        <v>100</v>
      </c>
      <c r="BV650" s="244"/>
      <c r="BW650" s="576">
        <f t="shared" si="329"/>
        <v>100</v>
      </c>
      <c r="BX650" s="577">
        <f t="shared" si="330"/>
        <v>0</v>
      </c>
      <c r="BZ650" s="166">
        <v>100</v>
      </c>
      <c r="CA650" s="166">
        <v>100</v>
      </c>
      <c r="CC650" s="753"/>
      <c r="CE650" s="166">
        <v>100</v>
      </c>
      <c r="CF650" s="166"/>
      <c r="CO650" s="16"/>
    </row>
    <row r="651" spans="1:93" x14ac:dyDescent="0.3">
      <c r="A651" s="11">
        <v>492</v>
      </c>
      <c r="B651" s="3" t="s">
        <v>2</v>
      </c>
      <c r="C651" s="37">
        <v>49205</v>
      </c>
      <c r="D651" s="37">
        <v>53800</v>
      </c>
      <c r="E651" s="49" t="s">
        <v>118</v>
      </c>
      <c r="F651" s="3" t="s">
        <v>2</v>
      </c>
      <c r="G651" s="3" t="s">
        <v>691</v>
      </c>
      <c r="H651" s="26">
        <v>2569</v>
      </c>
      <c r="I651" s="244"/>
      <c r="J651" s="16">
        <f t="shared" si="312"/>
        <v>2569</v>
      </c>
      <c r="K651" s="122">
        <f t="shared" si="313"/>
        <v>0</v>
      </c>
      <c r="M651" s="117">
        <v>2569</v>
      </c>
      <c r="N651" s="117">
        <v>2569</v>
      </c>
      <c r="P651" s="259"/>
      <c r="R651" s="26">
        <v>2569</v>
      </c>
      <c r="S651" s="26">
        <v>3849.8</v>
      </c>
      <c r="U651" s="26">
        <v>2569</v>
      </c>
      <c r="V651" s="244"/>
      <c r="W651" s="16">
        <f t="shared" si="314"/>
        <v>2569</v>
      </c>
      <c r="X651" s="122">
        <f t="shared" si="315"/>
        <v>0</v>
      </c>
      <c r="Z651" s="117">
        <v>2569</v>
      </c>
      <c r="AA651" s="117">
        <v>2569</v>
      </c>
      <c r="AC651" s="259"/>
      <c r="AE651" s="26">
        <v>2569</v>
      </c>
      <c r="AF651" s="200">
        <v>3547.72</v>
      </c>
      <c r="AH651" s="26">
        <v>2569</v>
      </c>
      <c r="AI651" s="244"/>
      <c r="AJ651" s="16">
        <f t="shared" si="316"/>
        <v>2569</v>
      </c>
      <c r="AK651" s="122">
        <f t="shared" si="325"/>
        <v>0</v>
      </c>
      <c r="AM651" s="117">
        <v>2569</v>
      </c>
      <c r="AN651" s="117">
        <v>2569</v>
      </c>
      <c r="AP651" s="259"/>
      <c r="AR651" s="26">
        <v>2569</v>
      </c>
      <c r="AS651" s="26">
        <v>1918.46</v>
      </c>
      <c r="AU651" s="26">
        <f t="shared" si="318"/>
        <v>2569</v>
      </c>
      <c r="AV651" s="244"/>
      <c r="AW651" s="16">
        <f t="shared" si="319"/>
        <v>2569</v>
      </c>
      <c r="AX651" s="122">
        <f t="shared" si="326"/>
        <v>0</v>
      </c>
      <c r="AZ651" s="117">
        <v>2569</v>
      </c>
      <c r="BA651" s="117">
        <v>2569</v>
      </c>
      <c r="BC651" s="259"/>
      <c r="BE651" s="26">
        <v>2569</v>
      </c>
      <c r="BF651" s="26">
        <v>1135.5999999999999</v>
      </c>
      <c r="BH651" s="26">
        <v>2569</v>
      </c>
      <c r="BI651" s="244"/>
      <c r="BJ651" s="16">
        <f t="shared" si="327"/>
        <v>2569</v>
      </c>
      <c r="BK651" s="122">
        <f t="shared" si="328"/>
        <v>0</v>
      </c>
      <c r="BM651" s="117">
        <v>2569</v>
      </c>
      <c r="BN651" s="117">
        <v>2569</v>
      </c>
      <c r="BP651" s="259"/>
      <c r="BR651" s="117">
        <v>2569</v>
      </c>
      <c r="BS651" s="26">
        <v>143.54</v>
      </c>
      <c r="BU651" s="26">
        <v>2569</v>
      </c>
      <c r="BV651" s="244">
        <v>-569</v>
      </c>
      <c r="BW651" s="576">
        <f t="shared" si="329"/>
        <v>2000</v>
      </c>
      <c r="BX651" s="577">
        <f t="shared" si="330"/>
        <v>-0.22148695990657843</v>
      </c>
      <c r="BZ651" s="166">
        <v>2000</v>
      </c>
      <c r="CA651" s="166">
        <v>2000</v>
      </c>
      <c r="CC651" s="755" t="s">
        <v>1372</v>
      </c>
      <c r="CE651" s="166">
        <v>2000</v>
      </c>
      <c r="CF651" s="166"/>
      <c r="CO651" s="16"/>
    </row>
    <row r="652" spans="1:93" x14ac:dyDescent="0.3">
      <c r="A652" s="11">
        <v>492</v>
      </c>
      <c r="C652" s="37">
        <v>49205</v>
      </c>
      <c r="D652" s="325">
        <v>53802</v>
      </c>
      <c r="E652" s="49" t="s">
        <v>118</v>
      </c>
      <c r="G652" s="178" t="s">
        <v>1605</v>
      </c>
      <c r="H652" s="26"/>
      <c r="I652" s="244"/>
      <c r="M652" s="117"/>
      <c r="N652" s="117"/>
      <c r="P652" s="259"/>
      <c r="R652" s="26"/>
      <c r="S652" s="26"/>
      <c r="U652" s="26"/>
      <c r="V652" s="244"/>
      <c r="Z652" s="117"/>
      <c r="AA652" s="117"/>
      <c r="AC652" s="259"/>
      <c r="AE652" s="26"/>
      <c r="AF652" s="200"/>
      <c r="AH652" s="26"/>
      <c r="AI652" s="244"/>
      <c r="AM652" s="117"/>
      <c r="AN652" s="117"/>
      <c r="AP652" s="259"/>
      <c r="AR652" s="26"/>
      <c r="AS652" s="26"/>
      <c r="AU652" s="26"/>
      <c r="AV652" s="244"/>
      <c r="AZ652" s="117"/>
      <c r="BA652" s="117"/>
      <c r="BC652" s="259"/>
      <c r="BE652" s="26"/>
      <c r="BF652" s="26"/>
      <c r="BH652" s="26"/>
      <c r="BI652" s="244"/>
      <c r="BM652" s="117"/>
      <c r="BN652" s="117"/>
      <c r="BP652" s="259"/>
      <c r="BR652" s="117"/>
      <c r="BS652" s="26"/>
      <c r="BU652" s="26"/>
      <c r="BV652" s="244"/>
      <c r="BZ652" s="166"/>
      <c r="CA652" s="216">
        <v>50000</v>
      </c>
      <c r="CC652" s="430" t="s">
        <v>1606</v>
      </c>
      <c r="CE652" s="216">
        <v>50000</v>
      </c>
      <c r="CF652" s="166"/>
      <c r="CH652" s="818">
        <v>50000</v>
      </c>
      <c r="CI652" s="818"/>
      <c r="CO652" s="16"/>
    </row>
    <row r="653" spans="1:93" x14ac:dyDescent="0.3">
      <c r="A653" s="11">
        <v>492</v>
      </c>
      <c r="B653" s="3" t="s">
        <v>2</v>
      </c>
      <c r="C653" s="37">
        <v>49205</v>
      </c>
      <c r="D653" s="37">
        <v>54200</v>
      </c>
      <c r="E653" s="49" t="s">
        <v>118</v>
      </c>
      <c r="F653" s="3" t="s">
        <v>2</v>
      </c>
      <c r="G653" s="3" t="s">
        <v>240</v>
      </c>
      <c r="H653" s="26">
        <v>1020</v>
      </c>
      <c r="I653" s="244"/>
      <c r="J653" s="16">
        <f t="shared" si="312"/>
        <v>1020</v>
      </c>
      <c r="K653" s="122">
        <f t="shared" si="313"/>
        <v>0</v>
      </c>
      <c r="M653" s="117">
        <v>1020</v>
      </c>
      <c r="N653" s="117">
        <v>1020</v>
      </c>
      <c r="P653" s="259"/>
      <c r="R653" s="26">
        <v>1020</v>
      </c>
      <c r="S653" s="26">
        <v>931.66</v>
      </c>
      <c r="U653" s="26">
        <v>1020</v>
      </c>
      <c r="V653" s="244"/>
      <c r="W653" s="16">
        <f t="shared" si="314"/>
        <v>1020</v>
      </c>
      <c r="X653" s="122">
        <f t="shared" si="315"/>
        <v>0</v>
      </c>
      <c r="Z653" s="117">
        <v>1020</v>
      </c>
      <c r="AA653" s="117">
        <v>1020</v>
      </c>
      <c r="AC653" s="259"/>
      <c r="AE653" s="26">
        <v>1020</v>
      </c>
      <c r="AF653" s="200">
        <v>225.01</v>
      </c>
      <c r="AH653" s="26">
        <v>1020</v>
      </c>
      <c r="AI653" s="244"/>
      <c r="AJ653" s="16">
        <f t="shared" si="316"/>
        <v>1020</v>
      </c>
      <c r="AK653" s="122">
        <f t="shared" si="325"/>
        <v>0</v>
      </c>
      <c r="AM653" s="117">
        <v>1020</v>
      </c>
      <c r="AN653" s="117">
        <v>1020</v>
      </c>
      <c r="AP653" s="259"/>
      <c r="AR653" s="26">
        <v>1020</v>
      </c>
      <c r="AS653" s="26">
        <v>359.96</v>
      </c>
      <c r="AU653" s="26">
        <f t="shared" si="318"/>
        <v>1020</v>
      </c>
      <c r="AV653" s="244"/>
      <c r="AW653" s="16">
        <f t="shared" si="319"/>
        <v>1020</v>
      </c>
      <c r="AX653" s="122">
        <f t="shared" si="326"/>
        <v>0</v>
      </c>
      <c r="AZ653" s="117">
        <v>1020</v>
      </c>
      <c r="BA653" s="117">
        <v>1020</v>
      </c>
      <c r="BC653" s="259"/>
      <c r="BE653" s="26">
        <v>1020</v>
      </c>
      <c r="BF653" s="26">
        <v>1993.11</v>
      </c>
      <c r="BH653" s="26">
        <v>1020</v>
      </c>
      <c r="BI653" s="244"/>
      <c r="BJ653" s="16">
        <f t="shared" si="327"/>
        <v>1020</v>
      </c>
      <c r="BK653" s="122">
        <f t="shared" si="328"/>
        <v>0</v>
      </c>
      <c r="BM653" s="117">
        <v>1020</v>
      </c>
      <c r="BN653" s="117">
        <v>1020</v>
      </c>
      <c r="BP653" s="259"/>
      <c r="BR653" s="117">
        <v>1020</v>
      </c>
      <c r="BS653" s="26">
        <v>364.39</v>
      </c>
      <c r="BU653" s="26">
        <v>1020</v>
      </c>
      <c r="BV653" s="244"/>
      <c r="BW653" s="576">
        <f t="shared" si="329"/>
        <v>1020</v>
      </c>
      <c r="BX653" s="577">
        <f t="shared" si="330"/>
        <v>0</v>
      </c>
      <c r="BZ653" s="166">
        <v>1020</v>
      </c>
      <c r="CA653" s="166">
        <v>1020</v>
      </c>
      <c r="CC653" s="755"/>
      <c r="CE653" s="166">
        <v>1020</v>
      </c>
      <c r="CF653" s="166"/>
      <c r="CH653" s="818">
        <v>-50000</v>
      </c>
      <c r="CI653" s="818"/>
      <c r="CO653" s="16"/>
    </row>
    <row r="654" spans="1:93" x14ac:dyDescent="0.3">
      <c r="A654" s="11">
        <v>492</v>
      </c>
      <c r="B654" s="3" t="s">
        <v>2</v>
      </c>
      <c r="C654" s="37">
        <v>49205</v>
      </c>
      <c r="D654" s="37">
        <v>54310</v>
      </c>
      <c r="E654" s="49" t="s">
        <v>118</v>
      </c>
      <c r="F654" s="3" t="s">
        <v>2</v>
      </c>
      <c r="G654" s="3" t="s">
        <v>239</v>
      </c>
      <c r="H654" s="26">
        <v>1530</v>
      </c>
      <c r="I654" s="244"/>
      <c r="J654" s="16">
        <f t="shared" si="312"/>
        <v>1530</v>
      </c>
      <c r="K654" s="122">
        <f t="shared" si="313"/>
        <v>0</v>
      </c>
      <c r="M654" s="117">
        <v>1530</v>
      </c>
      <c r="N654" s="117">
        <v>1530</v>
      </c>
      <c r="P654" s="259"/>
      <c r="R654" s="26">
        <v>1530</v>
      </c>
      <c r="S654" s="26">
        <v>1621.5</v>
      </c>
      <c r="U654" s="26">
        <v>1530</v>
      </c>
      <c r="V654" s="244"/>
      <c r="W654" s="16">
        <f t="shared" si="314"/>
        <v>1530</v>
      </c>
      <c r="X654" s="122">
        <f t="shared" si="315"/>
        <v>0</v>
      </c>
      <c r="Z654" s="117">
        <v>1530</v>
      </c>
      <c r="AA654" s="117">
        <v>1530</v>
      </c>
      <c r="AC654" s="259"/>
      <c r="AE654" s="26">
        <v>1530</v>
      </c>
      <c r="AF654" s="200">
        <v>0</v>
      </c>
      <c r="AH654" s="26">
        <v>1530</v>
      </c>
      <c r="AI654" s="244"/>
      <c r="AJ654" s="16">
        <f t="shared" si="316"/>
        <v>1530</v>
      </c>
      <c r="AK654" s="122">
        <f t="shared" si="325"/>
        <v>0</v>
      </c>
      <c r="AM654" s="117">
        <v>1530</v>
      </c>
      <c r="AN654" s="117">
        <v>1530</v>
      </c>
      <c r="AP654" s="259"/>
      <c r="AR654" s="26">
        <v>1530</v>
      </c>
      <c r="AS654" s="26">
        <v>0</v>
      </c>
      <c r="AU654" s="26">
        <f t="shared" si="318"/>
        <v>1530</v>
      </c>
      <c r="AV654" s="244"/>
      <c r="AW654" s="16">
        <f t="shared" si="319"/>
        <v>1530</v>
      </c>
      <c r="AX654" s="122">
        <f t="shared" si="326"/>
        <v>0</v>
      </c>
      <c r="AZ654" s="117">
        <v>1530</v>
      </c>
      <c r="BA654" s="117">
        <v>1530</v>
      </c>
      <c r="BC654" s="259"/>
      <c r="BE654" s="26">
        <v>1530</v>
      </c>
      <c r="BF654" s="26">
        <v>1486.95</v>
      </c>
      <c r="BH654" s="26">
        <v>1530</v>
      </c>
      <c r="BI654" s="244"/>
      <c r="BJ654" s="16">
        <f t="shared" si="327"/>
        <v>1530</v>
      </c>
      <c r="BK654" s="122">
        <f t="shared" si="328"/>
        <v>0</v>
      </c>
      <c r="BM654" s="117">
        <v>1530</v>
      </c>
      <c r="BN654" s="117">
        <v>1530</v>
      </c>
      <c r="BP654" s="259"/>
      <c r="BR654" s="117">
        <v>1530</v>
      </c>
      <c r="BS654" s="26"/>
      <c r="BU654" s="26">
        <v>1530</v>
      </c>
      <c r="BV654" s="244"/>
      <c r="BW654" s="576">
        <f t="shared" si="329"/>
        <v>1530</v>
      </c>
      <c r="BX654" s="577">
        <f t="shared" si="330"/>
        <v>0</v>
      </c>
      <c r="BZ654" s="166">
        <v>1530</v>
      </c>
      <c r="CA654" s="166">
        <v>1530</v>
      </c>
      <c r="CC654" s="753"/>
      <c r="CE654" s="166">
        <v>1530</v>
      </c>
      <c r="CF654" s="166"/>
      <c r="CO654" s="16"/>
    </row>
    <row r="655" spans="1:93" x14ac:dyDescent="0.3">
      <c r="A655" s="11">
        <v>492</v>
      </c>
      <c r="B655" s="3" t="s">
        <v>2</v>
      </c>
      <c r="C655" s="37">
        <v>49205</v>
      </c>
      <c r="D655" s="37">
        <v>54330</v>
      </c>
      <c r="E655" s="49" t="s">
        <v>118</v>
      </c>
      <c r="F655" s="3" t="s">
        <v>2</v>
      </c>
      <c r="G655" s="3" t="s">
        <v>238</v>
      </c>
      <c r="H655" s="26">
        <v>700</v>
      </c>
      <c r="I655" s="244"/>
      <c r="J655" s="16">
        <f t="shared" si="312"/>
        <v>700</v>
      </c>
      <c r="K655" s="122">
        <f t="shared" si="313"/>
        <v>0</v>
      </c>
      <c r="M655" s="117">
        <v>700</v>
      </c>
      <c r="N655" s="117">
        <v>700</v>
      </c>
      <c r="P655" s="259"/>
      <c r="R655" s="26">
        <v>700</v>
      </c>
      <c r="S655" s="26">
        <v>1213.3699999999999</v>
      </c>
      <c r="U655" s="26">
        <v>700</v>
      </c>
      <c r="V655" s="244"/>
      <c r="W655" s="16">
        <f t="shared" si="314"/>
        <v>700</v>
      </c>
      <c r="X655" s="122">
        <f t="shared" si="315"/>
        <v>0</v>
      </c>
      <c r="Z655" s="117">
        <v>700</v>
      </c>
      <c r="AA655" s="117">
        <v>700</v>
      </c>
      <c r="AC655" s="259"/>
      <c r="AE655" s="26">
        <v>700</v>
      </c>
      <c r="AF655" s="200">
        <v>737.67</v>
      </c>
      <c r="AH655" s="26">
        <v>700</v>
      </c>
      <c r="AI655" s="244"/>
      <c r="AJ655" s="16">
        <f t="shared" si="316"/>
        <v>700</v>
      </c>
      <c r="AK655" s="122">
        <f t="shared" si="325"/>
        <v>0</v>
      </c>
      <c r="AM655" s="117">
        <v>700</v>
      </c>
      <c r="AN655" s="117">
        <v>700</v>
      </c>
      <c r="AP655" s="259"/>
      <c r="AR655" s="26">
        <v>700</v>
      </c>
      <c r="AS655" s="26">
        <v>831.75</v>
      </c>
      <c r="AU655" s="26">
        <f t="shared" si="318"/>
        <v>700</v>
      </c>
      <c r="AV655" s="244"/>
      <c r="AW655" s="16">
        <f t="shared" si="319"/>
        <v>700</v>
      </c>
      <c r="AX655" s="122">
        <f t="shared" si="326"/>
        <v>0</v>
      </c>
      <c r="AZ655" s="117">
        <v>700</v>
      </c>
      <c r="BA655" s="117">
        <v>700</v>
      </c>
      <c r="BC655" s="259"/>
      <c r="BE655" s="26">
        <v>700</v>
      </c>
      <c r="BF655" s="26">
        <v>124.8</v>
      </c>
      <c r="BH655" s="26">
        <v>700</v>
      </c>
      <c r="BI655" s="244"/>
      <c r="BJ655" s="16">
        <f t="shared" si="327"/>
        <v>700</v>
      </c>
      <c r="BK655" s="122">
        <f t="shared" si="328"/>
        <v>0</v>
      </c>
      <c r="BM655" s="117">
        <v>700</v>
      </c>
      <c r="BN655" s="117">
        <v>700</v>
      </c>
      <c r="BP655" s="259"/>
      <c r="BR655" s="117">
        <v>700</v>
      </c>
      <c r="BS655" s="26"/>
      <c r="BU655" s="26">
        <v>700</v>
      </c>
      <c r="BV655" s="244"/>
      <c r="BW655" s="576">
        <f t="shared" si="329"/>
        <v>700</v>
      </c>
      <c r="BX655" s="577">
        <f t="shared" si="330"/>
        <v>0</v>
      </c>
      <c r="BZ655" s="166">
        <v>700</v>
      </c>
      <c r="CA655" s="166">
        <v>700</v>
      </c>
      <c r="CC655" s="753"/>
      <c r="CE655" s="166">
        <v>700</v>
      </c>
      <c r="CF655" s="166"/>
      <c r="CO655" s="16"/>
    </row>
    <row r="656" spans="1:93" x14ac:dyDescent="0.3">
      <c r="A656" s="11">
        <v>492</v>
      </c>
      <c r="B656" s="3" t="s">
        <v>2</v>
      </c>
      <c r="C656" s="37">
        <v>49205</v>
      </c>
      <c r="D656" s="37">
        <v>54500</v>
      </c>
      <c r="E656" s="49" t="s">
        <v>118</v>
      </c>
      <c r="F656" s="3" t="s">
        <v>2</v>
      </c>
      <c r="G656" s="3" t="s">
        <v>237</v>
      </c>
      <c r="H656" s="26">
        <v>500</v>
      </c>
      <c r="I656" s="244"/>
      <c r="J656" s="16">
        <f t="shared" si="312"/>
        <v>500</v>
      </c>
      <c r="K656" s="122">
        <f t="shared" si="313"/>
        <v>0</v>
      </c>
      <c r="M656" s="117">
        <v>500</v>
      </c>
      <c r="N656" s="117">
        <v>500</v>
      </c>
      <c r="P656" s="259"/>
      <c r="R656" s="26">
        <v>500</v>
      </c>
      <c r="S656" s="26">
        <v>426.49</v>
      </c>
      <c r="U656" s="26">
        <v>500</v>
      </c>
      <c r="V656" s="244"/>
      <c r="W656" s="16">
        <f t="shared" si="314"/>
        <v>500</v>
      </c>
      <c r="X656" s="122">
        <f t="shared" si="315"/>
        <v>0</v>
      </c>
      <c r="Z656" s="117">
        <v>500</v>
      </c>
      <c r="AA656" s="117">
        <v>500</v>
      </c>
      <c r="AC656" s="259"/>
      <c r="AE656" s="26">
        <v>500</v>
      </c>
      <c r="AF656" s="200">
        <v>751.98</v>
      </c>
      <c r="AH656" s="26">
        <v>500</v>
      </c>
      <c r="AI656" s="244"/>
      <c r="AJ656" s="16">
        <f t="shared" si="316"/>
        <v>500</v>
      </c>
      <c r="AK656" s="122">
        <f t="shared" si="325"/>
        <v>0</v>
      </c>
      <c r="AM656" s="117">
        <v>500</v>
      </c>
      <c r="AN656" s="117">
        <v>500</v>
      </c>
      <c r="AP656" s="259"/>
      <c r="AR656" s="26">
        <v>500</v>
      </c>
      <c r="AS656" s="26">
        <v>-375.83</v>
      </c>
      <c r="AU656" s="26">
        <f t="shared" si="318"/>
        <v>500</v>
      </c>
      <c r="AV656" s="244"/>
      <c r="AW656" s="16">
        <f t="shared" si="319"/>
        <v>500</v>
      </c>
      <c r="AX656" s="122">
        <f t="shared" si="326"/>
        <v>0</v>
      </c>
      <c r="AZ656" s="117">
        <v>500</v>
      </c>
      <c r="BA656" s="117">
        <v>500</v>
      </c>
      <c r="BC656" s="259"/>
      <c r="BE656" s="26">
        <v>500</v>
      </c>
      <c r="BF656" s="26">
        <v>-28.07</v>
      </c>
      <c r="BH656" s="26">
        <v>500</v>
      </c>
      <c r="BI656" s="244"/>
      <c r="BJ656" s="16">
        <f t="shared" si="327"/>
        <v>500</v>
      </c>
      <c r="BK656" s="122">
        <f t="shared" si="328"/>
        <v>0</v>
      </c>
      <c r="BM656" s="117">
        <v>500</v>
      </c>
      <c r="BN656" s="117">
        <v>500</v>
      </c>
      <c r="BP656" s="259"/>
      <c r="BR656" s="117">
        <v>500</v>
      </c>
      <c r="BS656" s="26"/>
      <c r="BU656" s="26">
        <v>500</v>
      </c>
      <c r="BV656" s="244"/>
      <c r="BW656" s="576">
        <f t="shared" si="329"/>
        <v>500</v>
      </c>
      <c r="BX656" s="577">
        <f t="shared" si="330"/>
        <v>0</v>
      </c>
      <c r="BZ656" s="166">
        <v>500</v>
      </c>
      <c r="CA656" s="166">
        <v>500</v>
      </c>
      <c r="CC656" s="753"/>
      <c r="CE656" s="166">
        <v>500</v>
      </c>
      <c r="CF656" s="166"/>
      <c r="CO656" s="16"/>
    </row>
    <row r="657" spans="1:93" x14ac:dyDescent="0.3">
      <c r="A657" s="11">
        <v>492</v>
      </c>
      <c r="B657" s="3" t="s">
        <v>2</v>
      </c>
      <c r="C657" s="37">
        <v>49205</v>
      </c>
      <c r="D657" s="37">
        <v>54610</v>
      </c>
      <c r="E657" s="49" t="s">
        <v>118</v>
      </c>
      <c r="F657" s="3" t="s">
        <v>2</v>
      </c>
      <c r="G657" s="3" t="s">
        <v>236</v>
      </c>
      <c r="H657" s="26">
        <v>9284</v>
      </c>
      <c r="I657" s="244"/>
      <c r="J657" s="16">
        <f t="shared" si="312"/>
        <v>9284</v>
      </c>
      <c r="K657" s="122">
        <f t="shared" si="313"/>
        <v>0</v>
      </c>
      <c r="M657" s="117">
        <v>9284</v>
      </c>
      <c r="N657" s="117">
        <v>9284</v>
      </c>
      <c r="P657" s="259"/>
      <c r="R657" s="26">
        <v>9284</v>
      </c>
      <c r="S657" s="26">
        <v>15345.18</v>
      </c>
      <c r="U657" s="26">
        <v>9284</v>
      </c>
      <c r="V657" s="244"/>
      <c r="W657" s="16">
        <f t="shared" si="314"/>
        <v>9284</v>
      </c>
      <c r="X657" s="122">
        <f t="shared" si="315"/>
        <v>0</v>
      </c>
      <c r="Z657" s="117">
        <v>9284</v>
      </c>
      <c r="AA657" s="117">
        <f>9284+1000</f>
        <v>10284</v>
      </c>
      <c r="AC657" s="259" t="s">
        <v>752</v>
      </c>
      <c r="AE657" s="26">
        <f>9284+1000</f>
        <v>10284</v>
      </c>
      <c r="AF657" s="200">
        <v>20638.740000000002</v>
      </c>
      <c r="AH657" s="26">
        <v>10284</v>
      </c>
      <c r="AI657" s="244"/>
      <c r="AJ657" s="16">
        <f t="shared" si="316"/>
        <v>10284</v>
      </c>
      <c r="AK657" s="122">
        <f t="shared" si="325"/>
        <v>0</v>
      </c>
      <c r="AM657" s="117">
        <v>10284</v>
      </c>
      <c r="AN657" s="117">
        <v>10284</v>
      </c>
      <c r="AO657" s="178"/>
      <c r="AP657" s="266"/>
      <c r="AR657" s="26">
        <v>10284</v>
      </c>
      <c r="AS657" s="26">
        <v>11891</v>
      </c>
      <c r="AU657" s="26">
        <f t="shared" si="318"/>
        <v>10284</v>
      </c>
      <c r="AV657" s="244"/>
      <c r="AW657" s="16">
        <f t="shared" si="319"/>
        <v>10284</v>
      </c>
      <c r="AX657" s="122">
        <f t="shared" si="326"/>
        <v>0</v>
      </c>
      <c r="AZ657" s="117">
        <v>10284</v>
      </c>
      <c r="BA657" s="117">
        <v>10284</v>
      </c>
      <c r="BB657" s="178"/>
      <c r="BC657" s="266"/>
      <c r="BE657" s="26">
        <v>10284</v>
      </c>
      <c r="BF657" s="26">
        <v>7907.34</v>
      </c>
      <c r="BH657" s="26">
        <v>10284</v>
      </c>
      <c r="BI657" s="244"/>
      <c r="BJ657" s="16">
        <f t="shared" si="327"/>
        <v>10284</v>
      </c>
      <c r="BK657" s="122">
        <f t="shared" si="328"/>
        <v>0</v>
      </c>
      <c r="BM657" s="117">
        <v>10284</v>
      </c>
      <c r="BN657" s="117">
        <v>10284</v>
      </c>
      <c r="BO657" s="178"/>
      <c r="BP657" s="297" t="s">
        <v>1135</v>
      </c>
      <c r="BR657" s="117">
        <v>10284</v>
      </c>
      <c r="BS657" s="26">
        <v>8783.15</v>
      </c>
      <c r="BU657" s="26">
        <v>10284</v>
      </c>
      <c r="BV657" s="244"/>
      <c r="BW657" s="576">
        <f t="shared" si="329"/>
        <v>10284</v>
      </c>
      <c r="BX657" s="577">
        <f t="shared" si="330"/>
        <v>0</v>
      </c>
      <c r="BZ657" s="166">
        <v>10284</v>
      </c>
      <c r="CA657" s="166">
        <v>10284</v>
      </c>
      <c r="CC657" s="755" t="s">
        <v>1372</v>
      </c>
      <c r="CE657" s="166">
        <v>10284</v>
      </c>
      <c r="CF657" s="166"/>
      <c r="CO657" s="16"/>
    </row>
    <row r="658" spans="1:93" x14ac:dyDescent="0.3">
      <c r="A658" s="11">
        <v>492</v>
      </c>
      <c r="B658" s="3" t="s">
        <v>2</v>
      </c>
      <c r="C658" s="37">
        <v>49205</v>
      </c>
      <c r="D658" s="37">
        <v>54810</v>
      </c>
      <c r="E658" s="49" t="s">
        <v>118</v>
      </c>
      <c r="F658" s="3" t="s">
        <v>2</v>
      </c>
      <c r="G658" s="3" t="s">
        <v>235</v>
      </c>
      <c r="H658" s="26">
        <v>2040</v>
      </c>
      <c r="I658" s="244">
        <v>1092</v>
      </c>
      <c r="J658" s="16">
        <f t="shared" si="312"/>
        <v>3132</v>
      </c>
      <c r="K658" s="122">
        <f t="shared" si="313"/>
        <v>0.53529411764705881</v>
      </c>
      <c r="M658" s="117">
        <v>3132</v>
      </c>
      <c r="N658" s="117">
        <v>3132</v>
      </c>
      <c r="P658" s="259"/>
      <c r="R658" s="26">
        <v>3132</v>
      </c>
      <c r="S658" s="26">
        <v>553.82000000000005</v>
      </c>
      <c r="U658" s="26">
        <v>3132</v>
      </c>
      <c r="V658" s="244"/>
      <c r="W658" s="16">
        <f t="shared" si="314"/>
        <v>3132</v>
      </c>
      <c r="X658" s="122">
        <f t="shared" si="315"/>
        <v>0</v>
      </c>
      <c r="Z658" s="117">
        <v>3132</v>
      </c>
      <c r="AA658" s="117">
        <v>3132</v>
      </c>
      <c r="AC658" s="259"/>
      <c r="AE658" s="26">
        <v>3132</v>
      </c>
      <c r="AF658" s="200">
        <v>942.02</v>
      </c>
      <c r="AH658" s="26">
        <v>3132</v>
      </c>
      <c r="AI658" s="244"/>
      <c r="AJ658" s="16">
        <f t="shared" si="316"/>
        <v>3132</v>
      </c>
      <c r="AK658" s="122">
        <f t="shared" si="325"/>
        <v>0</v>
      </c>
      <c r="AM658" s="117">
        <v>3132</v>
      </c>
      <c r="AN658" s="117">
        <v>3132</v>
      </c>
      <c r="AP658" s="259"/>
      <c r="AR658" s="26">
        <v>3132</v>
      </c>
      <c r="AS658" s="26">
        <v>102.23</v>
      </c>
      <c r="AU658" s="26">
        <f t="shared" si="318"/>
        <v>3132</v>
      </c>
      <c r="AV658" s="244"/>
      <c r="AW658" s="16">
        <f t="shared" si="319"/>
        <v>3132</v>
      </c>
      <c r="AX658" s="122">
        <f t="shared" si="326"/>
        <v>0</v>
      </c>
      <c r="AZ658" s="117">
        <v>3132</v>
      </c>
      <c r="BA658" s="117">
        <v>3132</v>
      </c>
      <c r="BC658" s="259"/>
      <c r="BE658" s="26">
        <v>3132</v>
      </c>
      <c r="BF658" s="26">
        <v>1630.81</v>
      </c>
      <c r="BH658" s="26">
        <v>3132</v>
      </c>
      <c r="BI658" s="244"/>
      <c r="BJ658" s="16">
        <f t="shared" si="327"/>
        <v>3132</v>
      </c>
      <c r="BK658" s="122">
        <f t="shared" si="328"/>
        <v>0</v>
      </c>
      <c r="BM658" s="117">
        <v>3132</v>
      </c>
      <c r="BN658" s="117">
        <v>3132</v>
      </c>
      <c r="BP658" s="259"/>
      <c r="BR658" s="117">
        <v>3132</v>
      </c>
      <c r="BS658" s="26"/>
      <c r="BU658" s="26">
        <v>3132</v>
      </c>
      <c r="BV658" s="244"/>
      <c r="BW658" s="576">
        <f t="shared" si="329"/>
        <v>3132</v>
      </c>
      <c r="BX658" s="577">
        <f t="shared" si="330"/>
        <v>0</v>
      </c>
      <c r="BZ658" s="166">
        <v>3132</v>
      </c>
      <c r="CA658" s="166">
        <v>3132</v>
      </c>
      <c r="CC658" s="753"/>
      <c r="CE658" s="166">
        <v>3132</v>
      </c>
      <c r="CF658" s="166"/>
      <c r="CO658" s="16"/>
    </row>
    <row r="659" spans="1:93" x14ac:dyDescent="0.3">
      <c r="A659" s="11">
        <v>492</v>
      </c>
      <c r="B659" s="3" t="s">
        <v>2</v>
      </c>
      <c r="C659" s="37">
        <v>49205</v>
      </c>
      <c r="D659" s="37">
        <v>55050</v>
      </c>
      <c r="E659" s="49" t="s">
        <v>118</v>
      </c>
      <c r="F659" s="3" t="s">
        <v>2</v>
      </c>
      <c r="G659" s="3" t="s">
        <v>234</v>
      </c>
      <c r="H659" s="26">
        <v>300</v>
      </c>
      <c r="I659" s="244"/>
      <c r="J659" s="16">
        <f t="shared" si="312"/>
        <v>300</v>
      </c>
      <c r="K659" s="122">
        <f t="shared" si="313"/>
        <v>0</v>
      </c>
      <c r="M659" s="117">
        <v>300</v>
      </c>
      <c r="N659" s="117">
        <v>300</v>
      </c>
      <c r="P659" s="259"/>
      <c r="R659" s="26">
        <v>300</v>
      </c>
      <c r="S659" s="26">
        <v>7.19</v>
      </c>
      <c r="U659" s="26">
        <v>300</v>
      </c>
      <c r="V659" s="244"/>
      <c r="W659" s="16">
        <f t="shared" si="314"/>
        <v>300</v>
      </c>
      <c r="X659" s="122">
        <f t="shared" si="315"/>
        <v>0</v>
      </c>
      <c r="Z659" s="117">
        <v>300</v>
      </c>
      <c r="AA659" s="117">
        <v>300</v>
      </c>
      <c r="AC659" s="259"/>
      <c r="AE659" s="26">
        <v>300</v>
      </c>
      <c r="AF659" s="200">
        <v>0</v>
      </c>
      <c r="AH659" s="26">
        <v>300</v>
      </c>
      <c r="AI659" s="244"/>
      <c r="AJ659" s="16">
        <f t="shared" si="316"/>
        <v>300</v>
      </c>
      <c r="AK659" s="122">
        <f t="shared" si="325"/>
        <v>0</v>
      </c>
      <c r="AM659" s="117">
        <v>300</v>
      </c>
      <c r="AN659" s="117">
        <v>300</v>
      </c>
      <c r="AP659" s="259"/>
      <c r="AR659" s="26">
        <v>300</v>
      </c>
      <c r="AS659" s="26">
        <v>0</v>
      </c>
      <c r="AU659" s="26">
        <f t="shared" si="318"/>
        <v>300</v>
      </c>
      <c r="AV659" s="244"/>
      <c r="AW659" s="16">
        <f t="shared" si="319"/>
        <v>300</v>
      </c>
      <c r="AX659" s="122">
        <f t="shared" si="326"/>
        <v>0</v>
      </c>
      <c r="AZ659" s="117">
        <v>300</v>
      </c>
      <c r="BA659" s="117">
        <v>300</v>
      </c>
      <c r="BC659" s="259"/>
      <c r="BE659" s="26">
        <v>300</v>
      </c>
      <c r="BF659" s="26">
        <v>0</v>
      </c>
      <c r="BH659" s="26">
        <v>300</v>
      </c>
      <c r="BI659" s="244"/>
      <c r="BJ659" s="16">
        <f t="shared" si="327"/>
        <v>300</v>
      </c>
      <c r="BK659" s="122">
        <f t="shared" si="328"/>
        <v>0</v>
      </c>
      <c r="BM659" s="117">
        <v>300</v>
      </c>
      <c r="BN659" s="117">
        <v>300</v>
      </c>
      <c r="BP659" s="259"/>
      <c r="BR659" s="117">
        <v>300</v>
      </c>
      <c r="BS659" s="26"/>
      <c r="BU659" s="26">
        <v>300</v>
      </c>
      <c r="BV659" s="244">
        <v>-100</v>
      </c>
      <c r="BW659" s="576">
        <f t="shared" si="329"/>
        <v>200</v>
      </c>
      <c r="BX659" s="577">
        <f t="shared" si="330"/>
        <v>-0.33333333333333331</v>
      </c>
      <c r="BZ659" s="166">
        <v>200</v>
      </c>
      <c r="CA659" s="166">
        <v>200</v>
      </c>
      <c r="CC659" s="755" t="s">
        <v>1372</v>
      </c>
      <c r="CE659" s="166">
        <v>200</v>
      </c>
      <c r="CF659" s="166"/>
      <c r="CO659" s="16"/>
    </row>
    <row r="660" spans="1:93" x14ac:dyDescent="0.3">
      <c r="A660" s="11">
        <v>492</v>
      </c>
      <c r="B660" s="3" t="s">
        <v>2</v>
      </c>
      <c r="C660" s="37">
        <v>49205</v>
      </c>
      <c r="D660" s="37">
        <v>55300</v>
      </c>
      <c r="E660" s="49" t="s">
        <v>118</v>
      </c>
      <c r="F660" s="3" t="s">
        <v>2</v>
      </c>
      <c r="G660" s="3" t="s">
        <v>233</v>
      </c>
      <c r="H660" s="26">
        <v>500</v>
      </c>
      <c r="I660" s="244"/>
      <c r="J660" s="16">
        <f t="shared" si="312"/>
        <v>500</v>
      </c>
      <c r="K660" s="122">
        <f t="shared" si="313"/>
        <v>0</v>
      </c>
      <c r="M660" s="117">
        <v>500</v>
      </c>
      <c r="N660" s="117">
        <v>500</v>
      </c>
      <c r="P660" s="259"/>
      <c r="R660" s="26">
        <v>500</v>
      </c>
      <c r="S660" s="26">
        <v>0</v>
      </c>
      <c r="U660" s="26">
        <v>500</v>
      </c>
      <c r="V660" s="244"/>
      <c r="W660" s="16">
        <f t="shared" si="314"/>
        <v>500</v>
      </c>
      <c r="X660" s="122">
        <f t="shared" si="315"/>
        <v>0</v>
      </c>
      <c r="Z660" s="117">
        <v>500</v>
      </c>
      <c r="AA660" s="117">
        <v>500</v>
      </c>
      <c r="AC660" s="259"/>
      <c r="AE660" s="26">
        <v>500</v>
      </c>
      <c r="AF660" s="200">
        <v>0</v>
      </c>
      <c r="AH660" s="26">
        <v>500</v>
      </c>
      <c r="AI660" s="244"/>
      <c r="AJ660" s="16">
        <f t="shared" si="316"/>
        <v>500</v>
      </c>
      <c r="AK660" s="122">
        <f t="shared" si="325"/>
        <v>0</v>
      </c>
      <c r="AM660" s="117">
        <v>500</v>
      </c>
      <c r="AN660" s="117">
        <v>500</v>
      </c>
      <c r="AP660" s="259"/>
      <c r="AR660" s="26">
        <v>500</v>
      </c>
      <c r="AS660" s="26">
        <v>0</v>
      </c>
      <c r="AU660" s="26">
        <f t="shared" si="318"/>
        <v>500</v>
      </c>
      <c r="AV660" s="244"/>
      <c r="AW660" s="16">
        <f t="shared" si="319"/>
        <v>500</v>
      </c>
      <c r="AX660" s="122">
        <f t="shared" si="326"/>
        <v>0</v>
      </c>
      <c r="AZ660" s="117">
        <v>500</v>
      </c>
      <c r="BA660" s="117">
        <v>500</v>
      </c>
      <c r="BC660" s="259"/>
      <c r="BE660" s="26">
        <v>500</v>
      </c>
      <c r="BF660" s="26">
        <v>0</v>
      </c>
      <c r="BH660" s="26">
        <v>500</v>
      </c>
      <c r="BI660" s="244"/>
      <c r="BJ660" s="16">
        <f t="shared" si="327"/>
        <v>500</v>
      </c>
      <c r="BK660" s="122">
        <f t="shared" si="328"/>
        <v>0</v>
      </c>
      <c r="BM660" s="117">
        <v>500</v>
      </c>
      <c r="BN660" s="117">
        <v>500</v>
      </c>
      <c r="BP660" s="259"/>
      <c r="BR660" s="117">
        <v>500</v>
      </c>
      <c r="BS660" s="26"/>
      <c r="BU660" s="26">
        <v>500</v>
      </c>
      <c r="BV660" s="244">
        <v>-500</v>
      </c>
      <c r="BW660" s="576">
        <f t="shared" si="329"/>
        <v>0</v>
      </c>
      <c r="BX660" s="577">
        <f t="shared" si="330"/>
        <v>-1</v>
      </c>
      <c r="BZ660" s="166">
        <v>0</v>
      </c>
      <c r="CA660" s="166">
        <v>0</v>
      </c>
      <c r="CC660" s="753" t="s">
        <v>1329</v>
      </c>
      <c r="CE660" s="166">
        <v>0</v>
      </c>
      <c r="CF660" s="166"/>
      <c r="CO660" s="16"/>
    </row>
    <row r="661" spans="1:93" x14ac:dyDescent="0.3">
      <c r="A661" s="11">
        <v>492</v>
      </c>
      <c r="B661" s="3" t="s">
        <v>2</v>
      </c>
      <c r="C661" s="37">
        <v>49205</v>
      </c>
      <c r="D661" s="37">
        <v>55310</v>
      </c>
      <c r="E661" s="49" t="s">
        <v>118</v>
      </c>
      <c r="F661" s="3" t="s">
        <v>2</v>
      </c>
      <c r="G661" s="3" t="s">
        <v>232</v>
      </c>
      <c r="H661" s="26">
        <v>3600</v>
      </c>
      <c r="I661" s="244"/>
      <c r="J661" s="16">
        <f t="shared" si="312"/>
        <v>3600</v>
      </c>
      <c r="K661" s="122">
        <f t="shared" si="313"/>
        <v>0</v>
      </c>
      <c r="M661" s="117">
        <v>3600</v>
      </c>
      <c r="N661" s="117">
        <v>3600</v>
      </c>
      <c r="P661" s="259"/>
      <c r="R661" s="26">
        <v>3600</v>
      </c>
      <c r="S661" s="26">
        <v>3212.37</v>
      </c>
      <c r="U661" s="26">
        <v>3600</v>
      </c>
      <c r="V661" s="244"/>
      <c r="W661" s="16">
        <f t="shared" si="314"/>
        <v>3600</v>
      </c>
      <c r="X661" s="122">
        <f t="shared" si="315"/>
        <v>0</v>
      </c>
      <c r="Z661" s="117">
        <v>3600</v>
      </c>
      <c r="AA661" s="117">
        <v>3600</v>
      </c>
      <c r="AC661" s="259"/>
      <c r="AE661" s="26">
        <v>3600</v>
      </c>
      <c r="AF661" s="200">
        <v>0</v>
      </c>
      <c r="AH661" s="26">
        <v>3600</v>
      </c>
      <c r="AI661" s="244"/>
      <c r="AJ661" s="16">
        <f t="shared" si="316"/>
        <v>3600</v>
      </c>
      <c r="AK661" s="122">
        <f t="shared" si="325"/>
        <v>0</v>
      </c>
      <c r="AM661" s="117">
        <v>3600</v>
      </c>
      <c r="AN661" s="117">
        <v>3600</v>
      </c>
      <c r="AP661" s="259"/>
      <c r="AR661" s="26">
        <v>3600</v>
      </c>
      <c r="AS661" s="26">
        <v>0</v>
      </c>
      <c r="AU661" s="26">
        <f t="shared" si="318"/>
        <v>3600</v>
      </c>
      <c r="AV661" s="244"/>
      <c r="AW661" s="16">
        <f t="shared" si="319"/>
        <v>3600</v>
      </c>
      <c r="AX661" s="122">
        <f t="shared" si="326"/>
        <v>0</v>
      </c>
      <c r="AZ661" s="117">
        <v>3600</v>
      </c>
      <c r="BA661" s="117">
        <v>3600</v>
      </c>
      <c r="BC661" s="259"/>
      <c r="BE661" s="26">
        <v>3600</v>
      </c>
      <c r="BF661" s="26">
        <v>3570.83</v>
      </c>
      <c r="BH661" s="26">
        <v>3600</v>
      </c>
      <c r="BI661" s="244">
        <v>-3600</v>
      </c>
      <c r="BJ661" s="16">
        <f t="shared" si="327"/>
        <v>0</v>
      </c>
      <c r="BK661" s="122">
        <f t="shared" si="328"/>
        <v>-1</v>
      </c>
      <c r="BM661" s="117">
        <v>0</v>
      </c>
      <c r="BN661" s="117">
        <v>0</v>
      </c>
      <c r="BP661" s="259" t="s">
        <v>1119</v>
      </c>
      <c r="BR661" s="117">
        <v>0</v>
      </c>
      <c r="BS661" s="26"/>
      <c r="BU661" s="26">
        <v>0</v>
      </c>
      <c r="BV661" s="244"/>
      <c r="BW661" s="576">
        <f t="shared" si="329"/>
        <v>0</v>
      </c>
      <c r="BX661" s="577" t="str">
        <f t="shared" si="330"/>
        <v xml:space="preserve"> </v>
      </c>
      <c r="BZ661" s="166">
        <v>0</v>
      </c>
      <c r="CA661" s="166">
        <v>0</v>
      </c>
      <c r="CC661" s="753"/>
      <c r="CE661" s="166">
        <v>0</v>
      </c>
      <c r="CF661" s="166"/>
      <c r="CO661" s="16"/>
    </row>
    <row r="662" spans="1:93" x14ac:dyDescent="0.3">
      <c r="A662" s="11">
        <v>492</v>
      </c>
      <c r="B662" s="3" t="s">
        <v>2</v>
      </c>
      <c r="C662" s="37">
        <v>49205</v>
      </c>
      <c r="D662" s="37">
        <v>55350</v>
      </c>
      <c r="E662" s="49" t="s">
        <v>118</v>
      </c>
      <c r="F662" s="3" t="s">
        <v>2</v>
      </c>
      <c r="G662" s="3" t="s">
        <v>231</v>
      </c>
      <c r="H662" s="26">
        <v>75</v>
      </c>
      <c r="I662" s="244"/>
      <c r="J662" s="16">
        <f t="shared" si="312"/>
        <v>75</v>
      </c>
      <c r="K662" s="122">
        <f t="shared" si="313"/>
        <v>0</v>
      </c>
      <c r="M662" s="117">
        <v>75</v>
      </c>
      <c r="N662" s="117">
        <v>75</v>
      </c>
      <c r="P662" s="259"/>
      <c r="R662" s="26">
        <v>75</v>
      </c>
      <c r="S662" s="26">
        <v>0</v>
      </c>
      <c r="U662" s="26">
        <v>75</v>
      </c>
      <c r="V662" s="244"/>
      <c r="W662" s="16">
        <f t="shared" si="314"/>
        <v>75</v>
      </c>
      <c r="X662" s="122">
        <f t="shared" si="315"/>
        <v>0</v>
      </c>
      <c r="Z662" s="117">
        <v>75</v>
      </c>
      <c r="AA662" s="117">
        <v>75</v>
      </c>
      <c r="AC662" s="259"/>
      <c r="AE662" s="26">
        <v>75</v>
      </c>
      <c r="AF662" s="200">
        <v>0</v>
      </c>
      <c r="AH662" s="26">
        <v>75</v>
      </c>
      <c r="AI662" s="244"/>
      <c r="AJ662" s="16">
        <f t="shared" si="316"/>
        <v>75</v>
      </c>
      <c r="AK662" s="122">
        <f t="shared" si="325"/>
        <v>0</v>
      </c>
      <c r="AM662" s="117">
        <v>75</v>
      </c>
      <c r="AN662" s="117">
        <v>75</v>
      </c>
      <c r="AP662" s="259"/>
      <c r="AR662" s="26">
        <v>75</v>
      </c>
      <c r="AS662" s="26">
        <v>0</v>
      </c>
      <c r="AU662" s="26">
        <f t="shared" si="318"/>
        <v>75</v>
      </c>
      <c r="AV662" s="244"/>
      <c r="AW662" s="16">
        <f t="shared" si="319"/>
        <v>75</v>
      </c>
      <c r="AX662" s="122">
        <f t="shared" si="326"/>
        <v>0</v>
      </c>
      <c r="AZ662" s="117">
        <v>75</v>
      </c>
      <c r="BA662" s="117">
        <v>75</v>
      </c>
      <c r="BC662" s="259"/>
      <c r="BE662" s="26">
        <v>75</v>
      </c>
      <c r="BF662" s="26">
        <v>0</v>
      </c>
      <c r="BH662" s="26">
        <v>75</v>
      </c>
      <c r="BI662" s="244"/>
      <c r="BJ662" s="16">
        <f t="shared" si="327"/>
        <v>75</v>
      </c>
      <c r="BK662" s="122">
        <f t="shared" si="328"/>
        <v>0</v>
      </c>
      <c r="BM662" s="117">
        <v>75</v>
      </c>
      <c r="BN662" s="117">
        <v>75</v>
      </c>
      <c r="BP662" s="259"/>
      <c r="BR662" s="117">
        <v>75</v>
      </c>
      <c r="BS662" s="26"/>
      <c r="BU662" s="26">
        <v>75</v>
      </c>
      <c r="BV662" s="244"/>
      <c r="BW662" s="576">
        <f t="shared" si="329"/>
        <v>75</v>
      </c>
      <c r="BX662" s="577">
        <f t="shared" si="330"/>
        <v>0</v>
      </c>
      <c r="BZ662" s="166">
        <v>75</v>
      </c>
      <c r="CA662" s="166">
        <v>75</v>
      </c>
      <c r="CC662" s="753"/>
      <c r="CE662" s="166">
        <v>75</v>
      </c>
      <c r="CF662" s="166"/>
      <c r="CO662" s="16"/>
    </row>
    <row r="663" spans="1:93" x14ac:dyDescent="0.3">
      <c r="A663" s="11">
        <v>492</v>
      </c>
      <c r="B663" s="3" t="s">
        <v>2</v>
      </c>
      <c r="C663" s="37">
        <v>49205</v>
      </c>
      <c r="D663" s="37">
        <v>55800</v>
      </c>
      <c r="E663" s="49" t="s">
        <v>118</v>
      </c>
      <c r="F663" s="3" t="s">
        <v>2</v>
      </c>
      <c r="G663" s="3" t="s">
        <v>230</v>
      </c>
      <c r="H663" s="26">
        <v>200</v>
      </c>
      <c r="I663" s="244"/>
      <c r="J663" s="16">
        <f t="shared" si="312"/>
        <v>200</v>
      </c>
      <c r="K663" s="122">
        <f t="shared" si="313"/>
        <v>0</v>
      </c>
      <c r="M663" s="117">
        <v>200</v>
      </c>
      <c r="N663" s="117">
        <v>200</v>
      </c>
      <c r="P663" s="259"/>
      <c r="R663" s="26">
        <v>200</v>
      </c>
      <c r="S663" s="26">
        <v>394.74</v>
      </c>
      <c r="U663" s="26">
        <v>200</v>
      </c>
      <c r="V663" s="244"/>
      <c r="W663" s="16">
        <f t="shared" si="314"/>
        <v>200</v>
      </c>
      <c r="X663" s="122">
        <f t="shared" si="315"/>
        <v>0</v>
      </c>
      <c r="Z663" s="117">
        <v>200</v>
      </c>
      <c r="AA663" s="117">
        <v>200</v>
      </c>
      <c r="AC663" s="259"/>
      <c r="AE663" s="26">
        <v>200</v>
      </c>
      <c r="AF663" s="200">
        <v>0</v>
      </c>
      <c r="AH663" s="26">
        <v>200</v>
      </c>
      <c r="AI663" s="244"/>
      <c r="AJ663" s="16">
        <f t="shared" si="316"/>
        <v>200</v>
      </c>
      <c r="AK663" s="122">
        <f t="shared" si="325"/>
        <v>0</v>
      </c>
      <c r="AM663" s="117">
        <v>200</v>
      </c>
      <c r="AN663" s="117">
        <v>200</v>
      </c>
      <c r="AP663" s="259"/>
      <c r="AR663" s="26">
        <v>200</v>
      </c>
      <c r="AS663" s="26">
        <v>94.98</v>
      </c>
      <c r="AU663" s="26">
        <f t="shared" si="318"/>
        <v>200</v>
      </c>
      <c r="AV663" s="244"/>
      <c r="AW663" s="16">
        <f t="shared" si="319"/>
        <v>200</v>
      </c>
      <c r="AX663" s="122">
        <f t="shared" si="326"/>
        <v>0</v>
      </c>
      <c r="AZ663" s="117">
        <v>200</v>
      </c>
      <c r="BA663" s="117">
        <v>200</v>
      </c>
      <c r="BC663" s="259"/>
      <c r="BE663" s="26">
        <v>200</v>
      </c>
      <c r="BF663" s="26">
        <v>0</v>
      </c>
      <c r="BH663" s="26">
        <v>200</v>
      </c>
      <c r="BI663" s="244"/>
      <c r="BJ663" s="16">
        <f t="shared" si="327"/>
        <v>200</v>
      </c>
      <c r="BK663" s="122">
        <f t="shared" si="328"/>
        <v>0</v>
      </c>
      <c r="BM663" s="117">
        <v>200</v>
      </c>
      <c r="BN663" s="117">
        <v>200</v>
      </c>
      <c r="BP663" s="259"/>
      <c r="BR663" s="117">
        <v>200</v>
      </c>
      <c r="BS663" s="26"/>
      <c r="BU663" s="26">
        <v>200</v>
      </c>
      <c r="BV663" s="244"/>
      <c r="BW663" s="576">
        <f t="shared" si="329"/>
        <v>200</v>
      </c>
      <c r="BX663" s="577">
        <f t="shared" si="330"/>
        <v>0</v>
      </c>
      <c r="BZ663" s="166">
        <v>200</v>
      </c>
      <c r="CA663" s="166">
        <v>200</v>
      </c>
      <c r="CC663" s="753"/>
      <c r="CE663" s="166">
        <v>200</v>
      </c>
      <c r="CF663" s="166"/>
      <c r="CO663" s="16"/>
    </row>
    <row r="664" spans="1:93" x14ac:dyDescent="0.3">
      <c r="A664" s="11">
        <v>492</v>
      </c>
      <c r="B664" s="3" t="s">
        <v>2</v>
      </c>
      <c r="C664" s="37">
        <v>49205</v>
      </c>
      <c r="D664" s="37">
        <v>55820</v>
      </c>
      <c r="E664" s="49" t="s">
        <v>118</v>
      </c>
      <c r="F664" s="3" t="s">
        <v>2</v>
      </c>
      <c r="G664" s="3" t="s">
        <v>977</v>
      </c>
      <c r="H664" s="26"/>
      <c r="I664" s="244"/>
      <c r="M664" s="117"/>
      <c r="N664" s="117"/>
      <c r="P664" s="259"/>
      <c r="R664" s="26"/>
      <c r="S664" s="26"/>
      <c r="U664" s="26"/>
      <c r="V664" s="244"/>
      <c r="Z664" s="117"/>
      <c r="AA664" s="117"/>
      <c r="AC664" s="259"/>
      <c r="AE664" s="26"/>
      <c r="AF664" s="200"/>
      <c r="AH664" s="26"/>
      <c r="AI664" s="244"/>
      <c r="AM664" s="117"/>
      <c r="AN664" s="117"/>
      <c r="AP664" s="259"/>
      <c r="AR664" s="26">
        <v>470</v>
      </c>
      <c r="AS664" s="26">
        <v>0</v>
      </c>
      <c r="AU664" s="26">
        <f t="shared" si="318"/>
        <v>470</v>
      </c>
      <c r="AV664" s="244"/>
      <c r="AW664" s="16">
        <f t="shared" si="319"/>
        <v>470</v>
      </c>
      <c r="AX664" s="122">
        <f t="shared" si="326"/>
        <v>0</v>
      </c>
      <c r="AZ664" s="117">
        <v>470</v>
      </c>
      <c r="BA664" s="117">
        <v>470</v>
      </c>
      <c r="BC664" s="259"/>
      <c r="BE664" s="26">
        <v>470</v>
      </c>
      <c r="BF664" s="26">
        <v>539.63</v>
      </c>
      <c r="BH664" s="26">
        <v>470</v>
      </c>
      <c r="BI664" s="244"/>
      <c r="BJ664" s="16">
        <f t="shared" si="327"/>
        <v>470</v>
      </c>
      <c r="BK664" s="122">
        <f t="shared" si="328"/>
        <v>0</v>
      </c>
      <c r="BM664" s="117">
        <v>470</v>
      </c>
      <c r="BN664" s="117">
        <v>470</v>
      </c>
      <c r="BP664" s="259"/>
      <c r="BR664" s="117">
        <v>470</v>
      </c>
      <c r="BS664" s="26">
        <v>254.2</v>
      </c>
      <c r="BU664" s="26">
        <v>470</v>
      </c>
      <c r="BV664" s="244"/>
      <c r="BW664" s="576">
        <f t="shared" si="329"/>
        <v>470</v>
      </c>
      <c r="BX664" s="577">
        <f t="shared" si="330"/>
        <v>0</v>
      </c>
      <c r="BZ664" s="166">
        <v>470</v>
      </c>
      <c r="CA664" s="166">
        <v>470</v>
      </c>
      <c r="CC664" s="753"/>
      <c r="CE664" s="166">
        <v>470</v>
      </c>
      <c r="CF664" s="166"/>
      <c r="CO664" s="16"/>
    </row>
    <row r="665" spans="1:93" x14ac:dyDescent="0.3">
      <c r="A665" s="11">
        <v>492</v>
      </c>
      <c r="B665" s="3" t="s">
        <v>2</v>
      </c>
      <c r="C665" s="37">
        <v>49205</v>
      </c>
      <c r="D665" s="37">
        <v>55830</v>
      </c>
      <c r="E665" s="49" t="s">
        <v>118</v>
      </c>
      <c r="F665" s="3" t="s">
        <v>2</v>
      </c>
      <c r="G665" s="3" t="s">
        <v>1284</v>
      </c>
      <c r="H665" s="26">
        <v>1986</v>
      </c>
      <c r="I665" s="244"/>
      <c r="J665" s="16">
        <f t="shared" si="312"/>
        <v>1986</v>
      </c>
      <c r="K665" s="122">
        <f t="shared" si="313"/>
        <v>0</v>
      </c>
      <c r="M665" s="117">
        <v>1986</v>
      </c>
      <c r="N665" s="117">
        <v>1986</v>
      </c>
      <c r="P665" s="259"/>
      <c r="R665" s="26">
        <v>1986</v>
      </c>
      <c r="S665" s="26">
        <v>1981.26</v>
      </c>
      <c r="U665" s="26">
        <v>1986</v>
      </c>
      <c r="V665" s="244"/>
      <c r="W665" s="16">
        <f t="shared" si="314"/>
        <v>1986</v>
      </c>
      <c r="X665" s="122">
        <f t="shared" si="315"/>
        <v>0</v>
      </c>
      <c r="Z665" s="117">
        <v>1986</v>
      </c>
      <c r="AA665" s="117">
        <v>1986</v>
      </c>
      <c r="AC665" s="259"/>
      <c r="AE665" s="26">
        <v>1986</v>
      </c>
      <c r="AF665" s="200">
        <v>275</v>
      </c>
      <c r="AH665" s="26">
        <v>1986</v>
      </c>
      <c r="AI665" s="244"/>
      <c r="AJ665" s="16">
        <f t="shared" si="316"/>
        <v>1986</v>
      </c>
      <c r="AK665" s="122">
        <f t="shared" si="325"/>
        <v>0</v>
      </c>
      <c r="AM665" s="117">
        <v>1986</v>
      </c>
      <c r="AN665" s="117">
        <v>1986</v>
      </c>
      <c r="AP665" s="259"/>
      <c r="AR665" s="26">
        <v>1986</v>
      </c>
      <c r="AS665" s="26">
        <v>2077.9499999999998</v>
      </c>
      <c r="AU665" s="26">
        <f t="shared" si="318"/>
        <v>1986</v>
      </c>
      <c r="AV665" s="244"/>
      <c r="AW665" s="16">
        <f t="shared" si="319"/>
        <v>1986</v>
      </c>
      <c r="AX665" s="122">
        <f t="shared" si="326"/>
        <v>0</v>
      </c>
      <c r="AZ665" s="117">
        <v>1986</v>
      </c>
      <c r="BA665" s="117">
        <v>1986</v>
      </c>
      <c r="BC665" s="259"/>
      <c r="BE665" s="26">
        <v>1986</v>
      </c>
      <c r="BF665" s="26">
        <v>1986</v>
      </c>
      <c r="BH665" s="26">
        <v>1986</v>
      </c>
      <c r="BI665" s="403">
        <v>500</v>
      </c>
      <c r="BJ665" s="16">
        <f t="shared" si="327"/>
        <v>2486</v>
      </c>
      <c r="BK665" s="122">
        <f t="shared" si="328"/>
        <v>0.25176233635448136</v>
      </c>
      <c r="BM665" s="117">
        <v>2486</v>
      </c>
      <c r="BN665" s="117">
        <v>2486</v>
      </c>
      <c r="BP665" s="399" t="s">
        <v>1120</v>
      </c>
      <c r="BR665" s="117">
        <v>2486</v>
      </c>
      <c r="BS665" s="26"/>
      <c r="BU665" s="26">
        <v>2486</v>
      </c>
      <c r="BV665" s="244">
        <v>619</v>
      </c>
      <c r="BW665" s="576">
        <f t="shared" si="329"/>
        <v>3105</v>
      </c>
      <c r="BX665" s="577">
        <f t="shared" si="330"/>
        <v>0.24899436846339501</v>
      </c>
      <c r="BZ665" s="166">
        <v>3105</v>
      </c>
      <c r="CA665" s="166">
        <v>3105</v>
      </c>
      <c r="CC665" s="430" t="s">
        <v>1607</v>
      </c>
      <c r="CE665" s="166">
        <v>3105</v>
      </c>
      <c r="CF665" s="166"/>
      <c r="CO665" s="16"/>
    </row>
    <row r="666" spans="1:93" s="1" customFormat="1" x14ac:dyDescent="0.3">
      <c r="A666" s="11">
        <v>492</v>
      </c>
      <c r="B666" s="3" t="s">
        <v>2</v>
      </c>
      <c r="C666" s="37">
        <v>49205</v>
      </c>
      <c r="D666" s="37">
        <v>55831</v>
      </c>
      <c r="E666" s="49" t="s">
        <v>118</v>
      </c>
      <c r="F666" s="3" t="s">
        <v>2</v>
      </c>
      <c r="G666" s="3" t="s">
        <v>229</v>
      </c>
      <c r="H666" s="26">
        <v>500</v>
      </c>
      <c r="I666" s="244"/>
      <c r="J666" s="16">
        <f t="shared" si="312"/>
        <v>500</v>
      </c>
      <c r="K666" s="122">
        <f t="shared" si="313"/>
        <v>0</v>
      </c>
      <c r="M666" s="117">
        <v>500</v>
      </c>
      <c r="N666" s="117">
        <v>500</v>
      </c>
      <c r="P666" s="259"/>
      <c r="R666" s="26">
        <v>500</v>
      </c>
      <c r="S666" s="26">
        <v>0</v>
      </c>
      <c r="U666" s="26">
        <v>500</v>
      </c>
      <c r="V666" s="244"/>
      <c r="W666" s="16">
        <f t="shared" si="314"/>
        <v>500</v>
      </c>
      <c r="X666" s="122">
        <f t="shared" si="315"/>
        <v>0</v>
      </c>
      <c r="Z666" s="117">
        <v>500</v>
      </c>
      <c r="AA666" s="117">
        <v>500</v>
      </c>
      <c r="AC666" s="259"/>
      <c r="AE666" s="26">
        <v>500</v>
      </c>
      <c r="AF666" s="200">
        <v>0</v>
      </c>
      <c r="AH666" s="26">
        <v>500</v>
      </c>
      <c r="AI666" s="244"/>
      <c r="AJ666" s="16">
        <f t="shared" si="316"/>
        <v>500</v>
      </c>
      <c r="AK666" s="122">
        <f t="shared" si="325"/>
        <v>0</v>
      </c>
      <c r="AM666" s="117">
        <v>500</v>
      </c>
      <c r="AN666" s="117">
        <v>500</v>
      </c>
      <c r="AP666" s="259"/>
      <c r="AR666" s="26">
        <v>500</v>
      </c>
      <c r="AS666" s="26">
        <v>0</v>
      </c>
      <c r="AU666" s="26">
        <f t="shared" si="318"/>
        <v>500</v>
      </c>
      <c r="AV666" s="244"/>
      <c r="AW666" s="16">
        <f t="shared" si="319"/>
        <v>500</v>
      </c>
      <c r="AX666" s="122">
        <f t="shared" si="326"/>
        <v>0</v>
      </c>
      <c r="AZ666" s="117">
        <v>500</v>
      </c>
      <c r="BA666" s="117">
        <v>500</v>
      </c>
      <c r="BC666" s="259"/>
      <c r="BE666" s="26">
        <v>500</v>
      </c>
      <c r="BF666" s="26">
        <v>0</v>
      </c>
      <c r="BH666" s="26">
        <v>500</v>
      </c>
      <c r="BI666" s="403">
        <v>-500</v>
      </c>
      <c r="BJ666" s="16">
        <f t="shared" si="327"/>
        <v>0</v>
      </c>
      <c r="BK666" s="122">
        <f t="shared" si="328"/>
        <v>-1</v>
      </c>
      <c r="BM666" s="117">
        <v>0</v>
      </c>
      <c r="BN666" s="117">
        <v>0</v>
      </c>
      <c r="BP666" s="399" t="s">
        <v>1120</v>
      </c>
      <c r="BR666" s="117">
        <v>0</v>
      </c>
      <c r="BS666" s="26"/>
      <c r="BU666" s="26">
        <v>0</v>
      </c>
      <c r="BV666" s="244"/>
      <c r="BW666" s="576">
        <f t="shared" si="329"/>
        <v>0</v>
      </c>
      <c r="BX666" s="577" t="str">
        <f t="shared" si="330"/>
        <v xml:space="preserve"> </v>
      </c>
      <c r="BY666" s="573"/>
      <c r="BZ666" s="166">
        <v>0</v>
      </c>
      <c r="CA666" s="166">
        <v>0</v>
      </c>
      <c r="CB666" s="573"/>
      <c r="CC666" s="754"/>
      <c r="CD666" s="573"/>
      <c r="CE666" s="166">
        <v>0</v>
      </c>
      <c r="CF666" s="166"/>
      <c r="CH666" s="812"/>
      <c r="CI666" s="812"/>
      <c r="CJ666" s="886"/>
      <c r="CO666" s="16"/>
    </row>
    <row r="667" spans="1:93" s="19" customFormat="1" x14ac:dyDescent="0.3">
      <c r="A667" s="27"/>
      <c r="B667" s="8"/>
      <c r="C667" s="42"/>
      <c r="D667" s="42"/>
      <c r="E667" s="54"/>
      <c r="F667" s="8"/>
      <c r="G667" s="57" t="s">
        <v>1155</v>
      </c>
      <c r="H667" s="28">
        <f>SUM(H639:H666)</f>
        <v>51208</v>
      </c>
      <c r="I667" s="28">
        <f>SUM(I639:I666)</f>
        <v>1092</v>
      </c>
      <c r="J667" s="28">
        <f>SUM(J639:J666)</f>
        <v>52300</v>
      </c>
      <c r="K667" s="123">
        <f>IF(H667=0," ",(J667-H667)/H667)</f>
        <v>2.1324793001093578E-2</v>
      </c>
      <c r="M667" s="28">
        <f>SUM(M639:M666)</f>
        <v>52300</v>
      </c>
      <c r="N667" s="28">
        <f>SUM(N639:N666)</f>
        <v>52300</v>
      </c>
      <c r="P667" s="139">
        <f>SUM(P639:P666)</f>
        <v>0</v>
      </c>
      <c r="R667" s="28">
        <f>SUM(R639:R666)</f>
        <v>52300</v>
      </c>
      <c r="S667" s="28">
        <f>SUM(S639:S666)</f>
        <v>50488.900000000009</v>
      </c>
      <c r="U667" s="28">
        <f>SUM(U639:U666)</f>
        <v>52300</v>
      </c>
      <c r="V667" s="28">
        <f>SUM(V639:V666)</f>
        <v>0</v>
      </c>
      <c r="W667" s="28">
        <f>SUM(W639:W666)</f>
        <v>52300</v>
      </c>
      <c r="X667" s="123">
        <f>IF(U667=0," ",(W667-U667)/U667)</f>
        <v>0</v>
      </c>
      <c r="Z667" s="28">
        <f>SUM(Z639:Z666)</f>
        <v>52300</v>
      </c>
      <c r="AA667" s="28">
        <f>SUM(AA639:AA666)</f>
        <v>54300</v>
      </c>
      <c r="AC667" s="139"/>
      <c r="AE667" s="28">
        <f>SUM(AE639:AE666)</f>
        <v>54300</v>
      </c>
      <c r="AF667" s="201">
        <f>SUM(AF639:AF666)</f>
        <v>45846.159999999996</v>
      </c>
      <c r="AH667" s="28">
        <f>SUM(AH639:AH666)</f>
        <v>54300</v>
      </c>
      <c r="AI667" s="28">
        <f>SUM(AI639:AI666)</f>
        <v>0</v>
      </c>
      <c r="AJ667" s="28">
        <f>SUM(AJ639:AJ666)</f>
        <v>54300</v>
      </c>
      <c r="AK667" s="123">
        <f>IF(AH667=0," ",(AJ667-AH667)/AH667)</f>
        <v>0</v>
      </c>
      <c r="AM667" s="28">
        <f>SUM(AM639:AM666)</f>
        <v>54300</v>
      </c>
      <c r="AN667" s="28">
        <f>SUM(AN639:AN666)</f>
        <v>54300</v>
      </c>
      <c r="AP667" s="139"/>
      <c r="AR667" s="28">
        <f>SUM(AR639:AR666)</f>
        <v>54770</v>
      </c>
      <c r="AS667" s="28">
        <f>SUM(AS639:AS666)</f>
        <v>51062.310000000005</v>
      </c>
      <c r="AU667" s="28">
        <f>SUM(AU639:AU666)</f>
        <v>54770</v>
      </c>
      <c r="AV667" s="28">
        <f>SUM(AV639:AV666)</f>
        <v>0</v>
      </c>
      <c r="AW667" s="28">
        <f>SUM(AW639:AW666)</f>
        <v>54770</v>
      </c>
      <c r="AX667" s="123">
        <f>IF(AU667=0," ",(AW667-AU667)/AU667)</f>
        <v>0</v>
      </c>
      <c r="AZ667" s="28">
        <f>SUM(AZ639:AZ666)</f>
        <v>54770</v>
      </c>
      <c r="BA667" s="28">
        <f>SUM(BA639:BA666)</f>
        <v>54770</v>
      </c>
      <c r="BC667" s="139"/>
      <c r="BE667" s="28">
        <f>SUM(BE639:BE666)</f>
        <v>54770</v>
      </c>
      <c r="BF667" s="28">
        <f>SUM(BF639:BF666)</f>
        <v>42130.340000000004</v>
      </c>
      <c r="BG667" s="9"/>
      <c r="BH667" s="28">
        <f>SUM(BH639:BH666)</f>
        <v>54770</v>
      </c>
      <c r="BI667" s="28">
        <f>SUM(BI639:BI666)</f>
        <v>-3600</v>
      </c>
      <c r="BJ667" s="28">
        <f>SUM(BJ639:BJ666)</f>
        <v>51170</v>
      </c>
      <c r="BK667" s="123">
        <f>IF(BH667=0," ",(BJ667-BH667)/BH667)</f>
        <v>-6.5729413912725951E-2</v>
      </c>
      <c r="BM667" s="28">
        <f>SUM(BM639:BM666)</f>
        <v>51170</v>
      </c>
      <c r="BN667" s="28">
        <f>SUM(BN639:BN666)</f>
        <v>54170</v>
      </c>
      <c r="BP667" s="139"/>
      <c r="BR667" s="28">
        <f>SUM(BR639:BR666)</f>
        <v>54170</v>
      </c>
      <c r="BS667" s="28">
        <f>SUM(BS639:BS666)</f>
        <v>18480.189999999999</v>
      </c>
      <c r="BT667" s="9"/>
      <c r="BU667" s="28">
        <f>SUM(BU639:BU666)</f>
        <v>54170</v>
      </c>
      <c r="BV667" s="532">
        <f>SUM(BV639:BV666)</f>
        <v>-500</v>
      </c>
      <c r="BW667" s="591">
        <f>SUM(BW639:BW666)</f>
        <v>53670</v>
      </c>
      <c r="BX667" s="579">
        <f>IF(BU667=0," ",(BW667-BU667)/BU667)</f>
        <v>-9.2302012183865609E-3</v>
      </c>
      <c r="BY667" s="580"/>
      <c r="BZ667" s="591">
        <f>SUM(BZ639:BZ666)</f>
        <v>53670</v>
      </c>
      <c r="CA667" s="591">
        <f>SUM(CA639:CA666)</f>
        <v>103670</v>
      </c>
      <c r="CB667" s="580"/>
      <c r="CC667" s="769"/>
      <c r="CD667" s="580"/>
      <c r="CE667" s="591">
        <f>SUM(CE639:CE666)</f>
        <v>103670</v>
      </c>
      <c r="CF667" s="591">
        <f>SUM(CF639:CF666)</f>
        <v>0</v>
      </c>
      <c r="CG667" s="9"/>
      <c r="CH667" s="815"/>
      <c r="CI667" s="815"/>
      <c r="CJ667" s="887"/>
      <c r="CO667" s="16"/>
    </row>
    <row r="668" spans="1:93" ht="9.9" customHeight="1" x14ac:dyDescent="0.3">
      <c r="AS668" s="16"/>
      <c r="CO668" s="16"/>
    </row>
    <row r="669" spans="1:93" s="1" customFormat="1" x14ac:dyDescent="0.3">
      <c r="A669" s="20"/>
      <c r="B669" s="5"/>
      <c r="C669" s="39"/>
      <c r="D669" s="39"/>
      <c r="E669" s="51"/>
      <c r="F669" s="5"/>
      <c r="G669" s="21" t="s">
        <v>1156</v>
      </c>
      <c r="H669" s="22">
        <f>H636+H667</f>
        <v>284868</v>
      </c>
      <c r="I669" s="22">
        <f>I636+I667</f>
        <v>5867</v>
      </c>
      <c r="J669" s="22">
        <f>J636+J667</f>
        <v>290735</v>
      </c>
      <c r="K669" s="124">
        <f>IF(H669=0," ",(J669-H669)/H669)</f>
        <v>2.0595503882499967E-2</v>
      </c>
      <c r="M669" s="22">
        <f>M636+M667</f>
        <v>290735</v>
      </c>
      <c r="N669" s="22">
        <f>N636+N667</f>
        <v>290735</v>
      </c>
      <c r="P669" s="136"/>
      <c r="R669" s="22">
        <f>R636+R667</f>
        <v>290735</v>
      </c>
      <c r="S669" s="22">
        <f>S636+S667</f>
        <v>284920.83</v>
      </c>
      <c r="U669" s="22">
        <f>U636+U667</f>
        <v>290735</v>
      </c>
      <c r="V669" s="22">
        <f>V636+V667</f>
        <v>3404</v>
      </c>
      <c r="W669" s="22">
        <f>W636+W667</f>
        <v>294139</v>
      </c>
      <c r="X669" s="124">
        <f>IF(U669=0," ",(W669-U669)/U669)</f>
        <v>1.1708256659844875E-2</v>
      </c>
      <c r="Z669" s="22">
        <f>Z636+Z667</f>
        <v>294139</v>
      </c>
      <c r="AA669" s="22">
        <f>AA636+AA667</f>
        <v>296139</v>
      </c>
      <c r="AC669" s="136"/>
      <c r="AE669" s="22">
        <f>AE636+AE667</f>
        <v>296139</v>
      </c>
      <c r="AF669" s="22">
        <f>AF636+AF667</f>
        <v>284425.09999999998</v>
      </c>
      <c r="AH669" s="22">
        <f>AH636+AH667</f>
        <v>296139</v>
      </c>
      <c r="AI669" s="22">
        <f>AI636+AI667</f>
        <v>16430</v>
      </c>
      <c r="AJ669" s="22">
        <f>AJ636+AJ667</f>
        <v>312569</v>
      </c>
      <c r="AK669" s="124">
        <f>IF(AH669=0," ",(AJ669-AH669)/AH669)</f>
        <v>5.5480703318374139E-2</v>
      </c>
      <c r="AM669" s="22">
        <f>AM636+AM667</f>
        <v>309369</v>
      </c>
      <c r="AN669" s="22">
        <f>AN636+AN667</f>
        <v>309369</v>
      </c>
      <c r="AP669" s="136"/>
      <c r="AR669" s="22">
        <f>AR636+AR667</f>
        <v>309839</v>
      </c>
      <c r="AS669" s="22">
        <f>AS636+AS667</f>
        <v>306130.18</v>
      </c>
      <c r="AU669" s="22">
        <f>AU636+AU667</f>
        <v>309839</v>
      </c>
      <c r="AV669" s="22">
        <f>AV636+AV667</f>
        <v>10277</v>
      </c>
      <c r="AW669" s="22">
        <f>AW636+AW667</f>
        <v>320116</v>
      </c>
      <c r="AX669" s="124">
        <f>IF(AU669=0," ",(AW669-AU669)/AU669)</f>
        <v>3.3168839300410861E-2</v>
      </c>
      <c r="AZ669" s="22">
        <f>AZ636+AZ667</f>
        <v>320376</v>
      </c>
      <c r="BA669" s="22">
        <f>BA636+BA667</f>
        <v>318674</v>
      </c>
      <c r="BC669" s="136"/>
      <c r="BE669" s="22">
        <f>BE636+BE667</f>
        <v>318674</v>
      </c>
      <c r="BF669" s="22">
        <f>BF636+BF667</f>
        <v>265015.37000000005</v>
      </c>
      <c r="BH669" s="22">
        <f>BH636+BH667</f>
        <v>318674</v>
      </c>
      <c r="BI669" s="22">
        <f>BI636+BI667</f>
        <v>-41463</v>
      </c>
      <c r="BJ669" s="22">
        <f>BJ636+BJ667</f>
        <v>277211</v>
      </c>
      <c r="BK669" s="124">
        <f>IF(BH669=0," ",(BJ669-BH669)/BH669)</f>
        <v>-0.13011102254969029</v>
      </c>
      <c r="BM669" s="22">
        <f>BM636+BM667</f>
        <v>277211</v>
      </c>
      <c r="BN669" s="22">
        <f>BN636+BN667</f>
        <v>280211</v>
      </c>
      <c r="BP669" s="136"/>
      <c r="BR669" s="22">
        <f>BR636+BR667</f>
        <v>280211</v>
      </c>
      <c r="BS669" s="22">
        <f>BS636+BS667</f>
        <v>124165.07</v>
      </c>
      <c r="BU669" s="22">
        <f>BU636+BU667</f>
        <v>280211</v>
      </c>
      <c r="BV669" s="22">
        <f>BV636+BV667</f>
        <v>8444</v>
      </c>
      <c r="BW669" s="22">
        <f>BW636+BW667</f>
        <v>288655</v>
      </c>
      <c r="BX669" s="582">
        <f>IF(BU669=0," ",(BW669-BU669)/BU669)</f>
        <v>3.0134434408356559E-2</v>
      </c>
      <c r="BY669" s="573"/>
      <c r="BZ669" s="22">
        <f>BZ636+BZ667</f>
        <v>288655</v>
      </c>
      <c r="CA669" s="22">
        <f>CA636+CA667</f>
        <v>338655</v>
      </c>
      <c r="CB669" s="573"/>
      <c r="CC669" s="764"/>
      <c r="CD669" s="573"/>
      <c r="CE669" s="22">
        <f>CE636+CE667</f>
        <v>338655</v>
      </c>
      <c r="CF669" s="22">
        <f>CF636+CF667</f>
        <v>0</v>
      </c>
      <c r="CH669" s="812"/>
      <c r="CI669" s="812"/>
      <c r="CJ669" s="886"/>
      <c r="CO669" s="16"/>
    </row>
    <row r="670" spans="1:93" ht="20.100000000000001" customHeight="1" x14ac:dyDescent="0.3">
      <c r="AS670" s="16"/>
      <c r="CO670" s="16"/>
    </row>
    <row r="671" spans="1:93" s="1" customFormat="1" ht="15.6" x14ac:dyDescent="0.3">
      <c r="A671" s="14" t="s">
        <v>696</v>
      </c>
      <c r="B671" s="2"/>
      <c r="C671" s="36"/>
      <c r="D671" s="36"/>
      <c r="E671" s="48"/>
      <c r="F671" s="2"/>
      <c r="G671" s="2"/>
      <c r="H671" s="15"/>
      <c r="I671" s="15"/>
      <c r="J671" s="15"/>
      <c r="K671" s="121"/>
      <c r="M671" s="15"/>
      <c r="N671" s="15"/>
      <c r="P671" s="133"/>
      <c r="R671" s="15"/>
      <c r="S671" s="15"/>
      <c r="U671" s="15"/>
      <c r="V671" s="15"/>
      <c r="W671" s="15"/>
      <c r="X671" s="121"/>
      <c r="Z671" s="15"/>
      <c r="AA671" s="15"/>
      <c r="AC671" s="133"/>
      <c r="AE671" s="15"/>
      <c r="AF671" s="196"/>
      <c r="AH671" s="15"/>
      <c r="AI671" s="15"/>
      <c r="AJ671" s="15"/>
      <c r="AK671" s="121"/>
      <c r="AM671" s="15"/>
      <c r="AN671" s="15"/>
      <c r="AP671" s="133"/>
      <c r="AR671" s="15"/>
      <c r="AS671" s="15"/>
      <c r="AU671" s="15"/>
      <c r="AV671" s="15"/>
      <c r="AW671" s="15"/>
      <c r="AX671" s="121"/>
      <c r="AZ671" s="15"/>
      <c r="BA671" s="15"/>
      <c r="BC671" s="133"/>
      <c r="BE671" s="15"/>
      <c r="BF671" s="15"/>
      <c r="BH671" s="15"/>
      <c r="BI671" s="15"/>
      <c r="BJ671" s="15"/>
      <c r="BK671" s="121"/>
      <c r="BM671" s="15"/>
      <c r="BN671" s="15"/>
      <c r="BP671" s="234"/>
      <c r="BR671" s="15"/>
      <c r="BS671" s="15"/>
      <c r="BU671" s="15"/>
      <c r="BV671" s="529"/>
      <c r="BW671" s="574"/>
      <c r="BX671" s="575"/>
      <c r="BY671" s="573"/>
      <c r="BZ671" s="574"/>
      <c r="CA671" s="574"/>
      <c r="CB671" s="573"/>
      <c r="CC671" s="761"/>
      <c r="CD671" s="573"/>
      <c r="CE671" s="574"/>
      <c r="CF671" s="574"/>
      <c r="CH671" s="812"/>
      <c r="CI671" s="812"/>
      <c r="CJ671" s="886"/>
      <c r="CO671" s="16"/>
    </row>
    <row r="672" spans="1:93" x14ac:dyDescent="0.3">
      <c r="A672" s="11">
        <v>494</v>
      </c>
      <c r="B672" s="3" t="s">
        <v>2</v>
      </c>
      <c r="C672" s="37">
        <v>49405</v>
      </c>
      <c r="D672" s="37">
        <v>53000</v>
      </c>
      <c r="E672" s="49" t="s">
        <v>118</v>
      </c>
      <c r="F672" s="3" t="s">
        <v>2</v>
      </c>
      <c r="G672" s="3" t="s">
        <v>1391</v>
      </c>
      <c r="H672" s="26"/>
      <c r="I672" s="244"/>
      <c r="J672" s="16">
        <f>H672+I672</f>
        <v>0</v>
      </c>
      <c r="K672" s="122" t="str">
        <f>IF(H672=0," ",(J672-H672)/H672)</f>
        <v xml:space="preserve"> </v>
      </c>
      <c r="M672" s="117"/>
      <c r="N672" s="117"/>
      <c r="P672" s="259"/>
      <c r="R672" s="26"/>
      <c r="S672" s="26"/>
      <c r="U672" s="26"/>
      <c r="V672" s="249"/>
      <c r="W672" s="16">
        <f>U672+V672</f>
        <v>0</v>
      </c>
      <c r="X672" s="122" t="str">
        <f>IF(U672=0," ",(W672-U672)/U672)</f>
        <v xml:space="preserve"> </v>
      </c>
      <c r="Z672" s="117"/>
      <c r="AA672" s="117">
        <v>40000</v>
      </c>
      <c r="AC672" s="259" t="s">
        <v>697</v>
      </c>
      <c r="AE672" s="26">
        <v>40000</v>
      </c>
      <c r="AF672" s="200">
        <v>24451.46</v>
      </c>
      <c r="AH672" s="26">
        <v>40000</v>
      </c>
      <c r="AI672" s="249"/>
      <c r="AJ672" s="16">
        <f>AH672+AI672</f>
        <v>40000</v>
      </c>
      <c r="AK672" s="122">
        <f>IF(AH672=0," ",(AJ672-AH672)/AH672)</f>
        <v>0</v>
      </c>
      <c r="AM672" s="117">
        <v>40000</v>
      </c>
      <c r="AN672" s="117">
        <v>40000</v>
      </c>
      <c r="AO672" s="178"/>
      <c r="AP672" s="266"/>
      <c r="AR672" s="26">
        <v>40000</v>
      </c>
      <c r="AS672" s="26">
        <v>34050.589999999997</v>
      </c>
      <c r="AU672" s="26">
        <f>AR672</f>
        <v>40000</v>
      </c>
      <c r="AV672" s="249"/>
      <c r="AW672" s="16">
        <f>AU672+AV672</f>
        <v>40000</v>
      </c>
      <c r="AX672" s="122">
        <f>IF(AU672=0," ",(AW672-AU672)/AU672)</f>
        <v>0</v>
      </c>
      <c r="AZ672" s="117">
        <v>40000</v>
      </c>
      <c r="BA672" s="117">
        <f>40000+7000</f>
        <v>47000</v>
      </c>
      <c r="BB672" s="178"/>
      <c r="BC672" s="266" t="s">
        <v>1040</v>
      </c>
      <c r="BE672" s="26">
        <f>40000+7000</f>
        <v>47000</v>
      </c>
      <c r="BF672" s="26">
        <v>39481.71</v>
      </c>
      <c r="BH672" s="26">
        <f>40000+7000</f>
        <v>47000</v>
      </c>
      <c r="BI672" s="244">
        <v>-8300</v>
      </c>
      <c r="BJ672" s="16">
        <f>BH672+BI672</f>
        <v>38700</v>
      </c>
      <c r="BK672" s="122">
        <f>IF(BH672=0," ",(BJ672-BH672)/BH672)</f>
        <v>-0.17659574468085107</v>
      </c>
      <c r="BM672" s="117">
        <v>38700</v>
      </c>
      <c r="BN672" s="117">
        <v>38700</v>
      </c>
      <c r="BO672" s="178"/>
      <c r="BP672" s="259"/>
      <c r="BR672" s="117">
        <v>38700</v>
      </c>
      <c r="BS672" s="26">
        <v>5005</v>
      </c>
      <c r="BU672" s="26">
        <v>38700</v>
      </c>
      <c r="BV672" s="244">
        <v>-12700</v>
      </c>
      <c r="BW672" s="576">
        <f>BU672+BV672</f>
        <v>26000</v>
      </c>
      <c r="BX672" s="577">
        <f>IF(BU672=0," ",(BW672-BU672)/BU672)</f>
        <v>-0.32816537467700257</v>
      </c>
      <c r="BZ672" s="166">
        <v>26000</v>
      </c>
      <c r="CA672" s="166">
        <v>26000</v>
      </c>
      <c r="CC672" s="753" t="s">
        <v>1387</v>
      </c>
      <c r="CE672" s="166">
        <v>26000</v>
      </c>
      <c r="CF672" s="166"/>
      <c r="CO672" s="16"/>
    </row>
    <row r="673" spans="1:93" x14ac:dyDescent="0.3">
      <c r="A673" s="11">
        <v>494</v>
      </c>
      <c r="C673" s="37">
        <v>49405</v>
      </c>
      <c r="E673" s="49" t="s">
        <v>118</v>
      </c>
      <c r="G673" s="3" t="s">
        <v>1392</v>
      </c>
      <c r="H673" s="26"/>
      <c r="I673" s="244"/>
      <c r="M673" s="117"/>
      <c r="N673" s="117"/>
      <c r="P673" s="259"/>
      <c r="R673" s="26"/>
      <c r="S673" s="26"/>
      <c r="U673" s="26"/>
      <c r="V673" s="249"/>
      <c r="Z673" s="117"/>
      <c r="AA673" s="117"/>
      <c r="AC673" s="259"/>
      <c r="AE673" s="26"/>
      <c r="AF673" s="200"/>
      <c r="AH673" s="26"/>
      <c r="AI673" s="249"/>
      <c r="AM673" s="117"/>
      <c r="AN673" s="117"/>
      <c r="AO673" s="178"/>
      <c r="AP673" s="266"/>
      <c r="AR673" s="26"/>
      <c r="AS673" s="26"/>
      <c r="AU673" s="26"/>
      <c r="AV673" s="249"/>
      <c r="AZ673" s="117"/>
      <c r="BA673" s="117"/>
      <c r="BB673" s="178"/>
      <c r="BC673" s="266"/>
      <c r="BE673" s="26"/>
      <c r="BF673" s="26"/>
      <c r="BH673" s="26"/>
      <c r="BI673" s="244"/>
      <c r="BM673" s="117"/>
      <c r="BN673" s="117"/>
      <c r="BO673" s="178"/>
      <c r="BP673" s="259"/>
      <c r="BR673" s="117"/>
      <c r="BS673" s="26"/>
      <c r="BU673" s="26"/>
      <c r="BV673" s="244"/>
      <c r="BW673" s="576">
        <f>BU673+BV673</f>
        <v>0</v>
      </c>
      <c r="BX673" s="577" t="str">
        <f>IF(BU673=0," ",(BW673-BU673)/BU673)</f>
        <v xml:space="preserve"> </v>
      </c>
      <c r="BZ673" s="166">
        <v>0</v>
      </c>
      <c r="CA673" s="166">
        <v>0</v>
      </c>
      <c r="CC673" s="430" t="s">
        <v>1608</v>
      </c>
      <c r="CE673" s="166">
        <v>0</v>
      </c>
      <c r="CF673" s="166"/>
      <c r="CO673" s="16"/>
    </row>
    <row r="674" spans="1:93" x14ac:dyDescent="0.3">
      <c r="A674" s="11">
        <v>494</v>
      </c>
      <c r="B674" s="3" t="s">
        <v>2</v>
      </c>
      <c r="C674" s="37">
        <v>49405</v>
      </c>
      <c r="E674" s="49" t="s">
        <v>118</v>
      </c>
      <c r="F674" s="3" t="s">
        <v>2</v>
      </c>
      <c r="G674" s="3" t="s">
        <v>1389</v>
      </c>
      <c r="H674" s="26"/>
      <c r="I674" s="244"/>
      <c r="M674" s="117"/>
      <c r="N674" s="117"/>
      <c r="P674" s="259"/>
      <c r="R674" s="26"/>
      <c r="S674" s="26"/>
      <c r="U674" s="26"/>
      <c r="V674" s="249"/>
      <c r="Z674" s="117"/>
      <c r="AA674" s="117"/>
      <c r="AC674" s="259"/>
      <c r="AE674" s="26"/>
      <c r="AF674" s="200"/>
      <c r="AH674" s="26"/>
      <c r="AI674" s="249"/>
      <c r="AM674" s="117"/>
      <c r="AN674" s="117"/>
      <c r="AO674" s="178"/>
      <c r="AP674" s="266"/>
      <c r="AR674" s="26"/>
      <c r="AS674" s="26"/>
      <c r="AU674" s="26"/>
      <c r="AV674" s="249"/>
      <c r="AZ674" s="117"/>
      <c r="BA674" s="117"/>
      <c r="BB674" s="178"/>
      <c r="BC674" s="266"/>
      <c r="BE674" s="26"/>
      <c r="BF674" s="26"/>
      <c r="BH674" s="26"/>
      <c r="BI674" s="403">
        <v>3600</v>
      </c>
      <c r="BJ674" s="16">
        <f>BH674+BI674</f>
        <v>3600</v>
      </c>
      <c r="BM674" s="117">
        <v>3600</v>
      </c>
      <c r="BN674" s="117">
        <v>3600</v>
      </c>
      <c r="BO674" s="178"/>
      <c r="BP674" s="259" t="s">
        <v>1157</v>
      </c>
      <c r="BR674" s="117"/>
      <c r="BS674" s="26"/>
      <c r="BU674" s="26"/>
      <c r="BV674" s="244"/>
      <c r="BW674" s="576">
        <f>BU674+BV674</f>
        <v>0</v>
      </c>
      <c r="BX674" s="577" t="str">
        <f>IF(BU674=0," ",(BW674-BU674)/BU674)</f>
        <v xml:space="preserve"> </v>
      </c>
      <c r="BZ674" s="166">
        <v>0</v>
      </c>
      <c r="CA674" s="166">
        <v>0</v>
      </c>
      <c r="CC674" s="430" t="s">
        <v>1609</v>
      </c>
      <c r="CE674" s="166">
        <v>0</v>
      </c>
      <c r="CF674" s="166"/>
      <c r="CO674" s="16"/>
    </row>
    <row r="675" spans="1:93" x14ac:dyDescent="0.3">
      <c r="A675" s="11">
        <v>494</v>
      </c>
      <c r="B675" s="3" t="s">
        <v>2</v>
      </c>
      <c r="C675" s="37">
        <v>49405</v>
      </c>
      <c r="D675" s="37">
        <v>55310</v>
      </c>
      <c r="E675" s="49" t="s">
        <v>118</v>
      </c>
      <c r="F675" s="3" t="s">
        <v>2</v>
      </c>
      <c r="G675" s="3" t="s">
        <v>1390</v>
      </c>
      <c r="H675" s="26"/>
      <c r="I675" s="244"/>
      <c r="M675" s="117"/>
      <c r="N675" s="117"/>
      <c r="P675" s="259"/>
      <c r="R675" s="26"/>
      <c r="S675" s="26"/>
      <c r="U675" s="26"/>
      <c r="V675" s="249"/>
      <c r="Z675" s="117"/>
      <c r="AA675" s="117"/>
      <c r="AC675" s="259"/>
      <c r="AE675" s="26"/>
      <c r="AF675" s="200"/>
      <c r="AH675" s="26"/>
      <c r="AI675" s="249"/>
      <c r="AM675" s="117"/>
      <c r="AN675" s="117"/>
      <c r="AO675" s="178"/>
      <c r="AP675" s="266"/>
      <c r="AR675" s="26"/>
      <c r="AS675" s="26"/>
      <c r="AU675" s="26"/>
      <c r="AV675" s="249"/>
      <c r="AZ675" s="117"/>
      <c r="BA675" s="117"/>
      <c r="BB675" s="178"/>
      <c r="BC675" s="266"/>
      <c r="BE675" s="26"/>
      <c r="BF675" s="26"/>
      <c r="BH675" s="26"/>
      <c r="BI675" s="403">
        <v>3600</v>
      </c>
      <c r="BJ675" s="16">
        <f>BH675+BI675</f>
        <v>3600</v>
      </c>
      <c r="BM675" s="117">
        <v>3600</v>
      </c>
      <c r="BN675" s="117">
        <v>3600</v>
      </c>
      <c r="BO675" s="178"/>
      <c r="BP675" s="259" t="s">
        <v>1157</v>
      </c>
      <c r="BR675" s="117">
        <v>3600</v>
      </c>
      <c r="BS675" s="26">
        <v>134.74</v>
      </c>
      <c r="BU675" s="26">
        <v>3600</v>
      </c>
      <c r="BV675" s="244"/>
      <c r="BW675" s="576">
        <f>BU675+BV675</f>
        <v>3600</v>
      </c>
      <c r="BX675" s="577">
        <f>IF(BU675=0," ",(BW675-BU675)/BU675)</f>
        <v>0</v>
      </c>
      <c r="BZ675" s="166">
        <v>3600</v>
      </c>
      <c r="CA675" s="166">
        <v>3600</v>
      </c>
      <c r="CC675" s="775" t="s">
        <v>1388</v>
      </c>
      <c r="CE675" s="166">
        <v>3600</v>
      </c>
      <c r="CF675" s="166"/>
      <c r="CO675" s="16"/>
    </row>
    <row r="676" spans="1:93" s="19" customFormat="1" x14ac:dyDescent="0.3">
      <c r="A676" s="27"/>
      <c r="B676" s="8"/>
      <c r="C676" s="42"/>
      <c r="D676" s="42"/>
      <c r="E676" s="54"/>
      <c r="F676" s="8"/>
      <c r="G676" s="57" t="s">
        <v>701</v>
      </c>
      <c r="H676" s="28">
        <f>SUM(H672:H672)</f>
        <v>0</v>
      </c>
      <c r="I676" s="28">
        <f>SUM(I672:I672)</f>
        <v>0</v>
      </c>
      <c r="J676" s="28">
        <f>SUM(J672:J672)</f>
        <v>0</v>
      </c>
      <c r="K676" s="123" t="str">
        <f>IF(H676=0," ",(J676-H676)/H676)</f>
        <v xml:space="preserve"> </v>
      </c>
      <c r="M676" s="28">
        <f>SUM(M672:M672)</f>
        <v>0</v>
      </c>
      <c r="N676" s="28">
        <f>SUM(N672:N672)</f>
        <v>0</v>
      </c>
      <c r="P676" s="139">
        <f>SUM(P672:P672)</f>
        <v>0</v>
      </c>
      <c r="R676" s="28">
        <f>SUM(R672:R672)</f>
        <v>0</v>
      </c>
      <c r="S676" s="28">
        <f>SUM(S672:S672)</f>
        <v>0</v>
      </c>
      <c r="U676" s="28">
        <f>SUM(U672:U672)</f>
        <v>0</v>
      </c>
      <c r="V676" s="28">
        <f>SUM(V672:V672)</f>
        <v>0</v>
      </c>
      <c r="W676" s="28">
        <f>SUM(W672:W672)</f>
        <v>0</v>
      </c>
      <c r="X676" s="123" t="str">
        <f>IF(U676=0," ",(W676-U676)/U676)</f>
        <v xml:space="preserve"> </v>
      </c>
      <c r="Z676" s="28">
        <f>SUM(Z672:Z672)</f>
        <v>0</v>
      </c>
      <c r="AA676" s="28">
        <f>SUM(AA672:AA672)</f>
        <v>40000</v>
      </c>
      <c r="AC676" s="139"/>
      <c r="AE676" s="28">
        <f>SUM(AE672:AE672)</f>
        <v>40000</v>
      </c>
      <c r="AF676" s="201">
        <f>SUM(AF672:AF672)</f>
        <v>24451.46</v>
      </c>
      <c r="AH676" s="28">
        <v>40000</v>
      </c>
      <c r="AI676" s="28">
        <f>SUM(AI672:AI672)</f>
        <v>0</v>
      </c>
      <c r="AJ676" s="28">
        <f>SUM(AJ672:AJ672)</f>
        <v>40000</v>
      </c>
      <c r="AK676" s="123">
        <f>IF(AH676=0," ",(AJ676-AH676)/AH676)</f>
        <v>0</v>
      </c>
      <c r="AM676" s="28">
        <f>SUM(AM672:AM672)</f>
        <v>40000</v>
      </c>
      <c r="AN676" s="28">
        <f>SUM(AN672:AN672)</f>
        <v>40000</v>
      </c>
      <c r="AP676" s="139"/>
      <c r="AR676" s="28">
        <f>SUM(AR672:AR672)</f>
        <v>40000</v>
      </c>
      <c r="AS676" s="28">
        <f>SUM(AS672:AS672)</f>
        <v>34050.589999999997</v>
      </c>
      <c r="AU676" s="28">
        <f>SUM(AU672:AU672)</f>
        <v>40000</v>
      </c>
      <c r="AV676" s="28">
        <f>SUM(AV672:AV672)</f>
        <v>0</v>
      </c>
      <c r="AW676" s="28">
        <f>SUM(AW672:AW672)</f>
        <v>40000</v>
      </c>
      <c r="AX676" s="123">
        <f>IF(AU676=0," ",(AW676-AU676)/AU676)</f>
        <v>0</v>
      </c>
      <c r="AZ676" s="28">
        <f>SUM(AZ672:AZ672)</f>
        <v>40000</v>
      </c>
      <c r="BA676" s="28">
        <f>SUM(BA672:BA672)</f>
        <v>47000</v>
      </c>
      <c r="BC676" s="139"/>
      <c r="BE676" s="28">
        <f>SUM(BE672:BE672)</f>
        <v>47000</v>
      </c>
      <c r="BF676" s="28">
        <f>SUM(BF672:BF672)</f>
        <v>39481.71</v>
      </c>
      <c r="BG676" s="9"/>
      <c r="BH676" s="28">
        <f>SUM(BH672:BH675)</f>
        <v>47000</v>
      </c>
      <c r="BI676" s="28">
        <f>SUM(BI672:BI675)</f>
        <v>-1100</v>
      </c>
      <c r="BJ676" s="28">
        <f>SUM(BJ672:BJ675)</f>
        <v>45900</v>
      </c>
      <c r="BK676" s="123">
        <f>IF(BH676=0," ",(BJ676-BH676)/BH676)</f>
        <v>-2.3404255319148935E-2</v>
      </c>
      <c r="BM676" s="28">
        <f>SUM(BM672:BM675)</f>
        <v>45900</v>
      </c>
      <c r="BN676" s="28">
        <f>SUM(BN672:BN675)</f>
        <v>45900</v>
      </c>
      <c r="BP676" s="139"/>
      <c r="BR676" s="28">
        <f>SUM(BR672:BR675)</f>
        <v>42300</v>
      </c>
      <c r="BS676" s="28">
        <f>SUM(BS672:BS675)</f>
        <v>5139.74</v>
      </c>
      <c r="BT676" s="9"/>
      <c r="BU676" s="28">
        <f>SUM(BU672:BU675)</f>
        <v>42300</v>
      </c>
      <c r="BV676" s="532">
        <f>SUM(BV672:BV675)</f>
        <v>-12700</v>
      </c>
      <c r="BW676" s="591">
        <f>SUM(BW672:BW675)</f>
        <v>29600</v>
      </c>
      <c r="BX676" s="579">
        <f>IF(BU676=0," ",(BW676-BU676)/BU676)</f>
        <v>-0.30023640661938533</v>
      </c>
      <c r="BY676" s="580"/>
      <c r="BZ676" s="591">
        <f>SUM(BZ672:BZ675)</f>
        <v>29600</v>
      </c>
      <c r="CA676" s="591">
        <f>SUM(CA672:CA675)</f>
        <v>29600</v>
      </c>
      <c r="CB676" s="580"/>
      <c r="CC676" s="769"/>
      <c r="CD676" s="580"/>
      <c r="CE676" s="591">
        <f>SUM(CE672:CE675)</f>
        <v>29600</v>
      </c>
      <c r="CF676" s="591">
        <f>SUM(CF672:CF675)</f>
        <v>0</v>
      </c>
      <c r="CG676" s="9"/>
      <c r="CH676" s="815"/>
      <c r="CI676" s="815"/>
      <c r="CJ676" s="887"/>
      <c r="CO676" s="16"/>
    </row>
    <row r="677" spans="1:93" ht="9.9" customHeight="1" x14ac:dyDescent="0.3">
      <c r="AS677" s="16"/>
      <c r="CO677" s="16"/>
    </row>
    <row r="678" spans="1:93" s="1" customFormat="1" x14ac:dyDescent="0.3">
      <c r="A678" s="20"/>
      <c r="B678" s="5"/>
      <c r="C678" s="39"/>
      <c r="D678" s="39"/>
      <c r="E678" s="51"/>
      <c r="F678" s="5"/>
      <c r="G678" s="21" t="s">
        <v>700</v>
      </c>
      <c r="H678" s="22">
        <f>H676</f>
        <v>0</v>
      </c>
      <c r="I678" s="22">
        <f>I676</f>
        <v>0</v>
      </c>
      <c r="J678" s="22">
        <f>J676</f>
        <v>0</v>
      </c>
      <c r="K678" s="124" t="str">
        <f>IF(H678=0," ",(J678-H678)/H678)</f>
        <v xml:space="preserve"> </v>
      </c>
      <c r="M678" s="22">
        <f>M676</f>
        <v>0</v>
      </c>
      <c r="N678" s="22">
        <f>N676</f>
        <v>0</v>
      </c>
      <c r="P678" s="136">
        <f>P676</f>
        <v>0</v>
      </c>
      <c r="R678" s="22">
        <f>R676</f>
        <v>0</v>
      </c>
      <c r="S678" s="22">
        <f>S676</f>
        <v>0</v>
      </c>
      <c r="U678" s="22">
        <f>U676</f>
        <v>0</v>
      </c>
      <c r="V678" s="22">
        <f>V676</f>
        <v>0</v>
      </c>
      <c r="W678" s="22">
        <f>W676</f>
        <v>0</v>
      </c>
      <c r="X678" s="124" t="str">
        <f>IF(U678=0," ",(W678-U678)/U678)</f>
        <v xml:space="preserve"> </v>
      </c>
      <c r="Z678" s="22">
        <f>Z676</f>
        <v>0</v>
      </c>
      <c r="AA678" s="22">
        <f>AA676</f>
        <v>40000</v>
      </c>
      <c r="AC678" s="136"/>
      <c r="AE678" s="22">
        <f>AE676</f>
        <v>40000</v>
      </c>
      <c r="AF678" s="199">
        <f>AF676</f>
        <v>24451.46</v>
      </c>
      <c r="AH678" s="22">
        <v>40000</v>
      </c>
      <c r="AI678" s="22">
        <f>AI676</f>
        <v>0</v>
      </c>
      <c r="AJ678" s="22">
        <f>AJ676</f>
        <v>40000</v>
      </c>
      <c r="AK678" s="124">
        <f>IF(AH678=0," ",(AJ678-AH678)/AH678)</f>
        <v>0</v>
      </c>
      <c r="AM678" s="22">
        <f>AM676</f>
        <v>40000</v>
      </c>
      <c r="AN678" s="22">
        <f>AN676</f>
        <v>40000</v>
      </c>
      <c r="AP678" s="136"/>
      <c r="AR678" s="22">
        <f>AR676</f>
        <v>40000</v>
      </c>
      <c r="AS678" s="22">
        <f>AS676</f>
        <v>34050.589999999997</v>
      </c>
      <c r="AU678" s="22">
        <f>AU676</f>
        <v>40000</v>
      </c>
      <c r="AV678" s="22">
        <f>AV676</f>
        <v>0</v>
      </c>
      <c r="AW678" s="22">
        <f>AW676</f>
        <v>40000</v>
      </c>
      <c r="AX678" s="124">
        <f>IF(AU678=0," ",(AW678-AU678)/AU678)</f>
        <v>0</v>
      </c>
      <c r="AZ678" s="22">
        <f>AZ676</f>
        <v>40000</v>
      </c>
      <c r="BA678" s="22">
        <f>BA676</f>
        <v>47000</v>
      </c>
      <c r="BC678" s="136"/>
      <c r="BE678" s="22">
        <f>BE676</f>
        <v>47000</v>
      </c>
      <c r="BF678" s="22">
        <f>BF676</f>
        <v>39481.71</v>
      </c>
      <c r="BH678" s="22">
        <f>BH676</f>
        <v>47000</v>
      </c>
      <c r="BI678" s="22">
        <f>BI676</f>
        <v>-1100</v>
      </c>
      <c r="BJ678" s="22">
        <f>BJ676</f>
        <v>45900</v>
      </c>
      <c r="BK678" s="124">
        <f>IF(BH678=0," ",(BJ678-BH678)/BH678)</f>
        <v>-2.3404255319148935E-2</v>
      </c>
      <c r="BM678" s="22">
        <f>BM676</f>
        <v>45900</v>
      </c>
      <c r="BN678" s="22">
        <f>BN676</f>
        <v>45900</v>
      </c>
      <c r="BP678" s="136"/>
      <c r="BR678" s="22">
        <f>BR676</f>
        <v>42300</v>
      </c>
      <c r="BS678" s="22">
        <f>BS676</f>
        <v>5139.74</v>
      </c>
      <c r="BU678" s="22">
        <f>BU676</f>
        <v>42300</v>
      </c>
      <c r="BV678" s="531">
        <f>BV676</f>
        <v>-12700</v>
      </c>
      <c r="BW678" s="581">
        <f>BW676</f>
        <v>29600</v>
      </c>
      <c r="BX678" s="582">
        <f>IF(BU678=0," ",(BW678-BU678)/BU678)</f>
        <v>-0.30023640661938533</v>
      </c>
      <c r="BY678" s="573"/>
      <c r="BZ678" s="581">
        <f>BZ676</f>
        <v>29600</v>
      </c>
      <c r="CA678" s="581">
        <f>CA676</f>
        <v>29600</v>
      </c>
      <c r="CB678" s="573"/>
      <c r="CC678" s="764"/>
      <c r="CD678" s="573"/>
      <c r="CE678" s="581">
        <f>CE676</f>
        <v>29600</v>
      </c>
      <c r="CF678" s="581">
        <f>CF676</f>
        <v>0</v>
      </c>
      <c r="CH678" s="812"/>
      <c r="CI678" s="812"/>
      <c r="CJ678" s="886"/>
      <c r="CO678" s="16"/>
    </row>
    <row r="679" spans="1:93" ht="15" customHeight="1" x14ac:dyDescent="0.3">
      <c r="AS679" s="16"/>
      <c r="CO679" s="16"/>
    </row>
    <row r="680" spans="1:93" s="1" customFormat="1" ht="20.100000000000001" customHeight="1" x14ac:dyDescent="0.3">
      <c r="A680" s="58" t="s">
        <v>340</v>
      </c>
      <c r="B680" s="59"/>
      <c r="C680" s="60"/>
      <c r="D680" s="60"/>
      <c r="E680" s="61"/>
      <c r="F680" s="59"/>
      <c r="G680" s="59"/>
      <c r="H680" s="62">
        <f>H669+H619+H612+H605+H599+H582+H519</f>
        <v>1600870</v>
      </c>
      <c r="I680" s="62">
        <f>I669+I619+I612+I605+I599+I582+I519</f>
        <v>21649.599999999999</v>
      </c>
      <c r="J680" s="62">
        <f>J669+J619+J612+J605+J599+J582+J519</f>
        <v>1622519.6</v>
      </c>
      <c r="K680" s="120">
        <f>IF(H680=0," ",(J680-H680)/H680)</f>
        <v>1.3523646517206327E-2</v>
      </c>
      <c r="M680" s="62">
        <f>M669+M619+M612+M605+M599+M582+M519</f>
        <v>1637825</v>
      </c>
      <c r="N680" s="62">
        <f>N669+N619+N612+N605+N599+N582+N519</f>
        <v>1637825</v>
      </c>
      <c r="P680" s="132">
        <f>P605+P599+P582</f>
        <v>0</v>
      </c>
      <c r="R680" s="62">
        <f>R669+R619+R612+R605+R599+R582+R519</f>
        <v>1637825</v>
      </c>
      <c r="S680" s="62">
        <f>S669+S619+S612+S605+S599+S582+S519</f>
        <v>1657170.5899999999</v>
      </c>
      <c r="U680" s="62">
        <f>U669+U619+U612+U605+U599+U582+U519+U678</f>
        <v>1637825</v>
      </c>
      <c r="V680" s="62">
        <f>V669+V619+V612+V605+V599+V582+V519+V678</f>
        <v>-21782</v>
      </c>
      <c r="W680" s="62">
        <f>W669+W619+W612+W605+W599+W582+W519+W678</f>
        <v>1616043</v>
      </c>
      <c r="X680" s="120">
        <f>IF(U680=0," ",(W680-U680)/U680)</f>
        <v>-1.3299345168134569E-2</v>
      </c>
      <c r="Z680" s="62">
        <f>Z669+Z619+Z612+Z605+Z599+Z582+Z519+Z678</f>
        <v>1616043</v>
      </c>
      <c r="AA680" s="62">
        <f>AA669+AA619+AA612+AA605+AA599+AA582+AA519+AA678</f>
        <v>1680330</v>
      </c>
      <c r="AC680" s="132"/>
      <c r="AE680" s="62">
        <f>AE669+AE619+AE612+AE605+AE599+AE582+AE519+AE678</f>
        <v>1680330</v>
      </c>
      <c r="AF680" s="195">
        <f>AF669+AF619+AF612+AF605+AF599+AF582+AF519+AF678</f>
        <v>1620621.73</v>
      </c>
      <c r="AH680" s="62">
        <v>1680330</v>
      </c>
      <c r="AI680" s="62">
        <f>AI669+AI619+AI612+AI605+AI599+AI582+AI519+AI678</f>
        <v>47319</v>
      </c>
      <c r="AJ680" s="62">
        <f>AJ669+AJ619+AJ612+AJ605+AJ599+AJ582+AJ519+AJ678</f>
        <v>1727649</v>
      </c>
      <c r="AK680" s="120">
        <f>IF(AH680=0," ",(AJ680-AH680)/AH680)</f>
        <v>2.8160539893949402E-2</v>
      </c>
      <c r="AM680" s="62">
        <f>AM669+AM619+AM612+AM605+AM599+AM582+AM519+AM678</f>
        <v>1725693</v>
      </c>
      <c r="AN680" s="62">
        <f>AN669+AN619+AN612+AN605+AN599+AN582+AN519+AN678</f>
        <v>1725693</v>
      </c>
      <c r="AP680" s="132"/>
      <c r="AR680" s="62">
        <f>AR669+AR619+AR612+AR605+AR599+AR582+AR519+AR678</f>
        <v>1726163</v>
      </c>
      <c r="AS680" s="62">
        <f>AS669+AS619+AS612+AS605+AS599+AS582+AS519+AS678</f>
        <v>1580816.69</v>
      </c>
      <c r="AU680" s="62">
        <f>AU669+AU619+AU612+AU605+AU599+AU582+AU519+AU678</f>
        <v>1726163</v>
      </c>
      <c r="AV680" s="62">
        <f>AV669+AV619+AV612+AV605+AV599+AV582+AV519+AV678</f>
        <v>-5026</v>
      </c>
      <c r="AW680" s="62">
        <f>AW669+AW619+AW612+AW605+AW599+AW582+AW519+AW678</f>
        <v>1721137</v>
      </c>
      <c r="AX680" s="120">
        <f>IF(AU680=0," ",(AW680-AU680)/AU680)</f>
        <v>-2.9116601387006906E-3</v>
      </c>
      <c r="AZ680" s="62">
        <f>AZ669+AZ619+AZ612+AZ605+AZ599+AZ582+AZ519+AZ678</f>
        <v>1720940</v>
      </c>
      <c r="BA680" s="62">
        <f>BA669+BA619+BA612+BA605+BA599+BA582+BA519+BA678</f>
        <v>1650646.91</v>
      </c>
      <c r="BC680" s="132"/>
      <c r="BE680" s="62">
        <f>BE669+BE619+BE612+BE605+BE599+BE582+BE519+BE678</f>
        <v>1724420</v>
      </c>
      <c r="BF680" s="62">
        <f>BF669+BF619+BF612+BF605+BF599+BF582+BF519+BF678</f>
        <v>1572733.8599999999</v>
      </c>
      <c r="BH680" s="62">
        <f>BH669+BH619+BH612+BH605+BH599+BH582+BH519+BH678</f>
        <v>1724420</v>
      </c>
      <c r="BI680" s="62">
        <f>BI669+BI619+BI612+BI605+BI599+BI582+BI519+BI678</f>
        <v>-68066</v>
      </c>
      <c r="BJ680" s="62">
        <f>BJ669+BJ619+BJ612+BJ605+BJ599+BJ582+BJ519+BJ678</f>
        <v>1656354</v>
      </c>
      <c r="BK680" s="120">
        <f>IF(BH680=0," ",(BJ680-BH680)/BH680)</f>
        <v>-3.9471822409853745E-2</v>
      </c>
      <c r="BM680" s="62">
        <f>BM669+BM619+BM612+BM605+BM599+BM582+BM519+BM678</f>
        <v>1656354</v>
      </c>
      <c r="BN680" s="62">
        <f>BN669+BN619+BN612+BN605+BN599+BN582+BN519+BN678</f>
        <v>1663250</v>
      </c>
      <c r="BP680" s="398"/>
      <c r="BR680" s="62">
        <f>BR669+BR619+BR612+BR605+BR599+BR582+BR519+BR678</f>
        <v>1659650</v>
      </c>
      <c r="BS680" s="62">
        <f>BS669+BS619+BS612+BS605+BS599+BS582+BS519+BS678</f>
        <v>654468.30000000005</v>
      </c>
      <c r="BU680" s="62">
        <f>BU669+BU619+BU612+BU605+BU599+BU582+BU519+BU678</f>
        <v>1659650</v>
      </c>
      <c r="BV680" s="62">
        <f>BV669+BV619+BV612+BV605+BV599+BV582+BV519+BV678</f>
        <v>8602</v>
      </c>
      <c r="BW680" s="62">
        <f>BW669+BW619+BW612+BW605+BW599+BW582+BW519+BW678</f>
        <v>1668252</v>
      </c>
      <c r="BX680" s="120">
        <f>IF(BU680=0," ",(BW680-BU680)/BU680)</f>
        <v>5.1830205163739341E-3</v>
      </c>
      <c r="BY680" s="573"/>
      <c r="BZ680" s="62">
        <f>BZ669+BZ619+BZ612+BZ605+BZ599+BZ582+BZ519+BZ678</f>
        <v>1668252</v>
      </c>
      <c r="CA680" s="62">
        <f>CA669+CA619+CA612+CA605+CA599+CA582+CA519+CA678</f>
        <v>1718252</v>
      </c>
      <c r="CB680" s="573"/>
      <c r="CC680" s="760"/>
      <c r="CD680" s="573"/>
      <c r="CE680" s="62">
        <f>CE669+CE619+CE612+CE605+CE599+CE582+CE519+CE678</f>
        <v>1718252</v>
      </c>
      <c r="CF680" s="62">
        <f>CF669+CF619+CF612+CF605+CF599+CF582+CF519+CF678</f>
        <v>0</v>
      </c>
      <c r="CH680" s="812"/>
      <c r="CI680" s="916">
        <v>1668252</v>
      </c>
      <c r="CJ680" s="897">
        <v>44634</v>
      </c>
      <c r="CK680" s="898" t="s">
        <v>1624</v>
      </c>
      <c r="CL680" s="898" t="s">
        <v>1620</v>
      </c>
      <c r="CM680" s="1" t="s">
        <v>1626</v>
      </c>
      <c r="CO680" s="16"/>
    </row>
    <row r="681" spans="1:93" s="1" customFormat="1" ht="20.100000000000001" customHeight="1" x14ac:dyDescent="0.3">
      <c r="A681" s="33"/>
      <c r="B681" s="10"/>
      <c r="C681" s="44"/>
      <c r="D681" s="44"/>
      <c r="E681" s="55"/>
      <c r="F681" s="10"/>
      <c r="G681" s="10"/>
      <c r="H681" s="34"/>
      <c r="I681" s="34"/>
      <c r="J681" s="34"/>
      <c r="K681" s="129"/>
      <c r="M681" s="34"/>
      <c r="N681" s="34"/>
      <c r="P681" s="142"/>
      <c r="R681" s="34"/>
      <c r="S681" s="34"/>
      <c r="U681" s="34"/>
      <c r="V681" s="34"/>
      <c r="W681" s="34"/>
      <c r="X681" s="129"/>
      <c r="Z681" s="34"/>
      <c r="AA681" s="34"/>
      <c r="AC681" s="142"/>
      <c r="AE681" s="34"/>
      <c r="AF681" s="203"/>
      <c r="AH681" s="34"/>
      <c r="AI681" s="34"/>
      <c r="AJ681" s="34"/>
      <c r="AK681" s="129"/>
      <c r="AM681" s="34"/>
      <c r="AN681" s="34"/>
      <c r="AP681" s="142"/>
      <c r="AR681" s="34"/>
      <c r="AS681" s="34"/>
      <c r="AU681" s="34"/>
      <c r="AV681" s="34"/>
      <c r="AW681" s="34"/>
      <c r="AX681" s="129"/>
      <c r="AZ681" s="34"/>
      <c r="BA681" s="34"/>
      <c r="BC681" s="142"/>
      <c r="BE681" s="34"/>
      <c r="BF681" s="34"/>
      <c r="BH681" s="34"/>
      <c r="BI681" s="34"/>
      <c r="BJ681" s="34"/>
      <c r="BK681" s="129"/>
      <c r="BM681" s="34"/>
      <c r="BN681" s="34"/>
      <c r="BP681" s="140"/>
      <c r="BR681" s="34"/>
      <c r="BS681" s="34"/>
      <c r="BU681" s="34"/>
      <c r="BV681" s="534"/>
      <c r="BW681" s="305"/>
      <c r="BX681" s="593"/>
      <c r="BY681" s="573"/>
      <c r="BZ681" s="305"/>
      <c r="CA681" s="305"/>
      <c r="CB681" s="573"/>
      <c r="CC681" s="752"/>
      <c r="CD681" s="573"/>
      <c r="CE681" s="305"/>
      <c r="CF681" s="305"/>
      <c r="CH681" s="812"/>
      <c r="CI681" s="812"/>
      <c r="CJ681" s="905"/>
      <c r="CO681" s="16"/>
    </row>
    <row r="682" spans="1:93" s="1" customFormat="1" ht="20.100000000000001" customHeight="1" x14ac:dyDescent="0.3">
      <c r="A682" s="63" t="s">
        <v>341</v>
      </c>
      <c r="B682" s="59"/>
      <c r="C682" s="60"/>
      <c r="D682" s="60"/>
      <c r="E682" s="61"/>
      <c r="F682" s="59"/>
      <c r="G682" s="59"/>
      <c r="H682" s="62"/>
      <c r="I682" s="62"/>
      <c r="J682" s="62"/>
      <c r="K682" s="120"/>
      <c r="M682" s="62"/>
      <c r="N682" s="62"/>
      <c r="P682" s="132"/>
      <c r="R682" s="62"/>
      <c r="S682" s="62"/>
      <c r="U682" s="62"/>
      <c r="V682" s="62"/>
      <c r="W682" s="62"/>
      <c r="X682" s="120"/>
      <c r="Z682" s="62"/>
      <c r="AA682" s="62"/>
      <c r="AC682" s="132"/>
      <c r="AE682" s="62"/>
      <c r="AF682" s="195"/>
      <c r="AH682" s="62"/>
      <c r="AI682" s="62"/>
      <c r="AJ682" s="62"/>
      <c r="AK682" s="120"/>
      <c r="AM682" s="62"/>
      <c r="AN682" s="62"/>
      <c r="AP682" s="132"/>
      <c r="AR682" s="62"/>
      <c r="AS682" s="62"/>
      <c r="AU682" s="62"/>
      <c r="AV682" s="62"/>
      <c r="AW682" s="62"/>
      <c r="AX682" s="120"/>
      <c r="AZ682" s="62"/>
      <c r="BA682" s="62"/>
      <c r="BC682" s="132"/>
      <c r="BE682" s="62"/>
      <c r="BF682" s="62"/>
      <c r="BH682" s="62"/>
      <c r="BI682" s="62"/>
      <c r="BJ682" s="62"/>
      <c r="BK682" s="120"/>
      <c r="BM682" s="62"/>
      <c r="BN682" s="62"/>
      <c r="BP682" s="398"/>
      <c r="BR682" s="62"/>
      <c r="BS682" s="62"/>
      <c r="BU682" s="62"/>
      <c r="BV682" s="528"/>
      <c r="BW682" s="571"/>
      <c r="BX682" s="572"/>
      <c r="BY682" s="573"/>
      <c r="BZ682" s="571"/>
      <c r="CA682" s="571"/>
      <c r="CB682" s="573"/>
      <c r="CC682" s="760"/>
      <c r="CD682" s="573"/>
      <c r="CE682" s="571"/>
      <c r="CF682" s="571"/>
      <c r="CH682" s="812"/>
      <c r="CI682" s="812"/>
      <c r="CJ682" s="886"/>
      <c r="CO682" s="16"/>
    </row>
    <row r="683" spans="1:93" s="1" customFormat="1" ht="15.6" x14ac:dyDescent="0.3">
      <c r="A683" s="14" t="s">
        <v>192</v>
      </c>
      <c r="B683" s="2"/>
      <c r="C683" s="36"/>
      <c r="D683" s="36"/>
      <c r="E683" s="48"/>
      <c r="F683" s="2"/>
      <c r="G683" s="2"/>
      <c r="H683" s="15"/>
      <c r="I683" s="15"/>
      <c r="J683" s="15"/>
      <c r="K683" s="121"/>
      <c r="M683" s="15"/>
      <c r="N683" s="15"/>
      <c r="P683" s="133"/>
      <c r="R683" s="15"/>
      <c r="S683" s="15"/>
      <c r="U683" s="15"/>
      <c r="V683" s="15"/>
      <c r="W683" s="15"/>
      <c r="X683" s="121"/>
      <c r="Z683" s="15"/>
      <c r="AA683" s="15"/>
      <c r="AC683" s="133"/>
      <c r="AE683" s="15"/>
      <c r="AF683" s="196"/>
      <c r="AH683" s="15"/>
      <c r="AI683" s="15"/>
      <c r="AJ683" s="15"/>
      <c r="AK683" s="121"/>
      <c r="AM683" s="15"/>
      <c r="AN683" s="15"/>
      <c r="AP683" s="133"/>
      <c r="AR683" s="15"/>
      <c r="AS683" s="15"/>
      <c r="AU683" s="15"/>
      <c r="AV683" s="15"/>
      <c r="AW683" s="15"/>
      <c r="AX683" s="121"/>
      <c r="AZ683" s="15"/>
      <c r="BA683" s="15"/>
      <c r="BC683" s="133"/>
      <c r="BE683" s="15"/>
      <c r="BF683" s="15"/>
      <c r="BH683" s="15"/>
      <c r="BI683" s="15"/>
      <c r="BJ683" s="15"/>
      <c r="BK683" s="121"/>
      <c r="BM683" s="15"/>
      <c r="BN683" s="15"/>
      <c r="BP683" s="234"/>
      <c r="BR683" s="15"/>
      <c r="BS683" s="15"/>
      <c r="BU683" s="15"/>
      <c r="BV683" s="529"/>
      <c r="BW683" s="574"/>
      <c r="BX683" s="575"/>
      <c r="BY683" s="573"/>
      <c r="BZ683" s="574"/>
      <c r="CA683" s="574"/>
      <c r="CB683" s="573"/>
      <c r="CC683" s="761"/>
      <c r="CD683" s="573"/>
      <c r="CE683" s="574"/>
      <c r="CF683" s="574"/>
      <c r="CH683" s="812"/>
      <c r="CI683" s="812"/>
      <c r="CJ683" s="886"/>
      <c r="CO683" s="16"/>
    </row>
    <row r="684" spans="1:93" x14ac:dyDescent="0.3">
      <c r="A684" s="11">
        <v>512</v>
      </c>
      <c r="B684" s="3" t="s">
        <v>2</v>
      </c>
      <c r="C684" s="37">
        <v>51201</v>
      </c>
      <c r="D684" s="37">
        <v>51120</v>
      </c>
      <c r="E684" s="49" t="s">
        <v>119</v>
      </c>
      <c r="F684" s="3" t="s">
        <v>2</v>
      </c>
      <c r="G684" s="3" t="s">
        <v>423</v>
      </c>
      <c r="H684" s="26">
        <v>73393</v>
      </c>
      <c r="I684" s="246">
        <v>1175</v>
      </c>
      <c r="J684" s="31">
        <f>H684+I684</f>
        <v>74568</v>
      </c>
      <c r="K684" s="148">
        <f>IF(H684=0," ",(J684-H684)/H684)</f>
        <v>1.6009701197661902E-2</v>
      </c>
      <c r="L684" s="7"/>
      <c r="M684" s="147">
        <v>74568</v>
      </c>
      <c r="N684" s="147">
        <v>74568</v>
      </c>
      <c r="O684" s="7"/>
      <c r="P684" s="149" t="s">
        <v>580</v>
      </c>
      <c r="Q684" s="7"/>
      <c r="R684" s="146">
        <v>74568</v>
      </c>
      <c r="S684" s="146">
        <v>74783.100000000006</v>
      </c>
      <c r="U684" s="146">
        <v>74568</v>
      </c>
      <c r="V684" s="246">
        <v>1498</v>
      </c>
      <c r="W684" s="31">
        <f>U684+V684</f>
        <v>76066</v>
      </c>
      <c r="X684" s="148">
        <f>IF(U684=0," ",(W684-U684)/U684)</f>
        <v>2.0089046239673856E-2</v>
      </c>
      <c r="Y684" s="7"/>
      <c r="Z684" s="147">
        <v>76066</v>
      </c>
      <c r="AA684" s="147">
        <v>76066</v>
      </c>
      <c r="AB684" s="7"/>
      <c r="AC684" s="259" t="s">
        <v>667</v>
      </c>
      <c r="AD684" s="7"/>
      <c r="AE684" s="146">
        <v>76066</v>
      </c>
      <c r="AF684" s="272">
        <v>60559.92</v>
      </c>
      <c r="AG684" s="7"/>
      <c r="AH684" s="146">
        <v>76066</v>
      </c>
      <c r="AI684" s="246">
        <v>2115</v>
      </c>
      <c r="AJ684" s="31">
        <f>AH684+AI684</f>
        <v>78181</v>
      </c>
      <c r="AK684" s="148">
        <f>IF(AH684=0," ",(AJ684-AH684)/AH684)</f>
        <v>2.7804801093786975E-2</v>
      </c>
      <c r="AL684" s="7"/>
      <c r="AM684" s="147">
        <v>78181</v>
      </c>
      <c r="AN684" s="147">
        <v>78181</v>
      </c>
      <c r="AO684" s="7"/>
      <c r="AP684" s="259" t="s">
        <v>809</v>
      </c>
      <c r="AQ684" s="7"/>
      <c r="AR684" s="146">
        <v>78181</v>
      </c>
      <c r="AS684" s="26">
        <v>61300.94</v>
      </c>
      <c r="AT684" s="7"/>
      <c r="AU684" s="26">
        <f>AR684</f>
        <v>78181</v>
      </c>
      <c r="AV684" s="246">
        <v>-8796</v>
      </c>
      <c r="AW684" s="31">
        <f>AU684+AV684</f>
        <v>69385</v>
      </c>
      <c r="AX684" s="148">
        <f>IF(AU684=0," ",(AW684-AU684)/AU684)</f>
        <v>-0.11250815415510163</v>
      </c>
      <c r="AY684" s="7"/>
      <c r="AZ684" s="117">
        <v>69113</v>
      </c>
      <c r="BA684" s="117">
        <v>68028</v>
      </c>
      <c r="BB684" s="7"/>
      <c r="BC684" s="259" t="s">
        <v>979</v>
      </c>
      <c r="BD684" s="7"/>
      <c r="BE684" s="26">
        <v>68028</v>
      </c>
      <c r="BF684" s="26">
        <v>68027.039999999994</v>
      </c>
      <c r="BG684" s="6"/>
      <c r="BH684" s="26">
        <v>68028</v>
      </c>
      <c r="BI684" s="246">
        <v>1357</v>
      </c>
      <c r="BJ684" s="31">
        <f>BH684+BI684</f>
        <v>69385</v>
      </c>
      <c r="BK684" s="148">
        <f>IF(BH684=0," ",(BJ684-BH684)/BH684)</f>
        <v>1.994766860704416E-2</v>
      </c>
      <c r="BL684" s="7"/>
      <c r="BM684" s="147">
        <v>69385</v>
      </c>
      <c r="BN684" s="147">
        <v>69385</v>
      </c>
      <c r="BO684" s="7"/>
      <c r="BP684" s="428" t="s">
        <v>1307</v>
      </c>
      <c r="BQ684" s="7"/>
      <c r="BR684" s="147">
        <v>69385</v>
      </c>
      <c r="BS684" s="146">
        <v>31103.279999999999</v>
      </c>
      <c r="BT684" s="6"/>
      <c r="BU684" s="146">
        <v>69385</v>
      </c>
      <c r="BV684" s="246">
        <v>1378</v>
      </c>
      <c r="BW684" s="583">
        <f>BU684+BV684</f>
        <v>70763</v>
      </c>
      <c r="BX684" s="584">
        <f>IF(BU684=0," ",(BW684-BU684)/BU684)</f>
        <v>1.9860200331483752E-2</v>
      </c>
      <c r="BY684" s="590"/>
      <c r="BZ684" s="585">
        <v>70763</v>
      </c>
      <c r="CA684" s="585">
        <v>70763</v>
      </c>
      <c r="CB684" s="590"/>
      <c r="CC684" s="753" t="s">
        <v>1281</v>
      </c>
      <c r="CD684" s="590"/>
      <c r="CE684" s="585">
        <v>70763</v>
      </c>
      <c r="CF684" s="585"/>
      <c r="CG684" s="6"/>
      <c r="CO684" s="16"/>
    </row>
    <row r="685" spans="1:93" x14ac:dyDescent="0.3">
      <c r="A685" s="11">
        <v>512</v>
      </c>
      <c r="B685" s="3" t="s">
        <v>2</v>
      </c>
      <c r="C685" s="37">
        <v>51201</v>
      </c>
      <c r="D685" s="37">
        <v>51490</v>
      </c>
      <c r="E685" s="49" t="s">
        <v>119</v>
      </c>
      <c r="F685" s="3" t="s">
        <v>2</v>
      </c>
      <c r="G685" s="3" t="s">
        <v>568</v>
      </c>
      <c r="H685" s="26"/>
      <c r="I685" s="245">
        <v>750</v>
      </c>
      <c r="J685" s="16">
        <f>H685+I685</f>
        <v>750</v>
      </c>
      <c r="K685" s="122" t="str">
        <f>IF(H685=0," ",(J685-H685)/H685)</f>
        <v xml:space="preserve"> </v>
      </c>
      <c r="M685" s="118">
        <v>750</v>
      </c>
      <c r="N685" s="118">
        <v>750</v>
      </c>
      <c r="P685" s="137" t="s">
        <v>579</v>
      </c>
      <c r="R685" s="144">
        <v>750</v>
      </c>
      <c r="S685" s="144">
        <v>750</v>
      </c>
      <c r="U685" s="144">
        <v>750</v>
      </c>
      <c r="V685" s="245"/>
      <c r="W685" s="16">
        <f>U685+V685</f>
        <v>750</v>
      </c>
      <c r="X685" s="122">
        <f>IF(U685=0," ",(W685-U685)/U685)</f>
        <v>0</v>
      </c>
      <c r="Z685" s="118">
        <v>750</v>
      </c>
      <c r="AA685" s="118">
        <v>750</v>
      </c>
      <c r="AC685" s="137"/>
      <c r="AE685" s="144">
        <v>750</v>
      </c>
      <c r="AF685" s="271">
        <v>750</v>
      </c>
      <c r="AH685" s="144">
        <v>750</v>
      </c>
      <c r="AI685" s="245"/>
      <c r="AJ685" s="16">
        <f>AH685+AI685</f>
        <v>750</v>
      </c>
      <c r="AK685" s="122">
        <f>IF(AH685=0," ",(AJ685-AH685)/AH685)</f>
        <v>0</v>
      </c>
      <c r="AM685" s="117">
        <v>750</v>
      </c>
      <c r="AN685" s="117">
        <v>750</v>
      </c>
      <c r="AP685" s="137"/>
      <c r="AR685" s="26">
        <v>750</v>
      </c>
      <c r="AS685" s="26">
        <v>0</v>
      </c>
      <c r="AU685" s="26">
        <f>AR685</f>
        <v>750</v>
      </c>
      <c r="AV685" s="245">
        <v>-750</v>
      </c>
      <c r="AW685" s="16">
        <f>AU685+AV685</f>
        <v>0</v>
      </c>
      <c r="AX685" s="122">
        <f>IF(AU685=0," ",(AW685-AU685)/AU685)</f>
        <v>-1</v>
      </c>
      <c r="AZ685" s="117">
        <v>0</v>
      </c>
      <c r="BA685" s="117">
        <v>0</v>
      </c>
      <c r="BC685" s="137"/>
      <c r="BE685" s="26">
        <v>0</v>
      </c>
      <c r="BF685" s="26"/>
      <c r="BH685" s="26">
        <v>0</v>
      </c>
      <c r="BI685" s="245"/>
      <c r="BJ685" s="16">
        <f>BH685+BI685</f>
        <v>0</v>
      </c>
      <c r="BK685" s="122" t="str">
        <f>IF(BH685=0," ",(BJ685-BH685)/BH685)</f>
        <v xml:space="preserve"> </v>
      </c>
      <c r="BM685" s="117">
        <v>0</v>
      </c>
      <c r="BN685" s="117">
        <v>0</v>
      </c>
      <c r="BP685" s="137"/>
      <c r="BR685" s="117">
        <v>0</v>
      </c>
      <c r="BS685" s="144"/>
      <c r="BU685" s="26">
        <v>0</v>
      </c>
      <c r="BV685" s="245"/>
      <c r="BW685" s="576">
        <f>BU685+BV685</f>
        <v>0</v>
      </c>
      <c r="BX685" s="577" t="str">
        <f>IF(BU685=0," ",(BW685-BU685)/BU685)</f>
        <v xml:space="preserve"> </v>
      </c>
      <c r="BZ685" s="166">
        <v>0</v>
      </c>
      <c r="CA685" s="166">
        <v>0</v>
      </c>
      <c r="CC685" s="767"/>
      <c r="CE685" s="166">
        <v>0</v>
      </c>
      <c r="CF685" s="166"/>
      <c r="CO685" s="16"/>
    </row>
    <row r="686" spans="1:93" x14ac:dyDescent="0.3">
      <c r="A686" s="12"/>
      <c r="H686" s="32">
        <f>SUM(H684:H685)</f>
        <v>73393</v>
      </c>
      <c r="I686" s="32">
        <f>SUM(I684:I685)</f>
        <v>1925</v>
      </c>
      <c r="J686" s="32">
        <f>SUM(J684:J685)</f>
        <v>75318</v>
      </c>
      <c r="K686" s="128">
        <f>IF(H686=0," ",(J686-H686)/H686)</f>
        <v>2.6228659408935456E-2</v>
      </c>
      <c r="M686" s="32">
        <f>SUM(M684:M685)</f>
        <v>75318</v>
      </c>
      <c r="N686" s="32">
        <f>SUM(N684:N685)</f>
        <v>75318</v>
      </c>
      <c r="P686" s="141">
        <f>SUM(P685)</f>
        <v>0</v>
      </c>
      <c r="R686" s="145">
        <f>SUM(R684:R685)</f>
        <v>75318</v>
      </c>
      <c r="S686" s="32">
        <f>SUM(S684:S685)</f>
        <v>75533.100000000006</v>
      </c>
      <c r="U686" s="32">
        <f>SUM(U684:U685)</f>
        <v>75318</v>
      </c>
      <c r="V686" s="32">
        <f>SUM(V684:V685)</f>
        <v>1498</v>
      </c>
      <c r="W686" s="32">
        <f>SUM(W684:W685)</f>
        <v>76816</v>
      </c>
      <c r="X686" s="128">
        <f>IF(U686=0," ",(W686-U686)/U686)</f>
        <v>1.988900395655753E-2</v>
      </c>
      <c r="Z686" s="32">
        <f>SUM(Z684:Z685)</f>
        <v>76816</v>
      </c>
      <c r="AA686" s="32">
        <f>SUM(AA684:AA685)</f>
        <v>76816</v>
      </c>
      <c r="AC686" s="141"/>
      <c r="AE686" s="145">
        <f>SUM(AE684:AE685)</f>
        <v>76816</v>
      </c>
      <c r="AF686" s="274">
        <f>SUM(AF684:AF685)</f>
        <v>61309.919999999998</v>
      </c>
      <c r="AH686" s="145">
        <v>76816</v>
      </c>
      <c r="AI686" s="32">
        <f>SUM(AI684:AI685)</f>
        <v>2115</v>
      </c>
      <c r="AJ686" s="32">
        <f>SUM(AJ684:AJ685)</f>
        <v>78931</v>
      </c>
      <c r="AK686" s="128">
        <f>IF(AH686=0," ",(AJ686-AH686)/AH686)</f>
        <v>2.7533326390335348E-2</v>
      </c>
      <c r="AM686" s="32">
        <f>SUM(AM684:AM685)</f>
        <v>78931</v>
      </c>
      <c r="AN686" s="32">
        <f>SUM(AN684:AN685)</f>
        <v>78931</v>
      </c>
      <c r="AP686" s="141"/>
      <c r="AR686" s="145">
        <f>SUM(AR684:AR685)</f>
        <v>78931</v>
      </c>
      <c r="AS686" s="145">
        <f>SUM(AS684:AS685)</f>
        <v>61300.94</v>
      </c>
      <c r="AU686" s="145">
        <f>SUM(AU684:AU685)</f>
        <v>78931</v>
      </c>
      <c r="AV686" s="32">
        <f>SUM(AV684:AV685)</f>
        <v>-9546</v>
      </c>
      <c r="AW686" s="32">
        <f>SUM(AW684:AW685)</f>
        <v>69385</v>
      </c>
      <c r="AX686" s="128">
        <f>IF(AU686=0," ",(AW686-AU686)/AU686)</f>
        <v>-0.12094107511624076</v>
      </c>
      <c r="AZ686" s="32">
        <f>SUM(AZ684:AZ685)</f>
        <v>69113</v>
      </c>
      <c r="BA686" s="32">
        <f>SUM(BA684:BA685)</f>
        <v>68028</v>
      </c>
      <c r="BC686" s="141"/>
      <c r="BE686" s="145">
        <f>SUM(BE684:BE685)</f>
        <v>68028</v>
      </c>
      <c r="BF686" s="145">
        <f>SUM(BF684:BF685)</f>
        <v>68027.039999999994</v>
      </c>
      <c r="BH686" s="145">
        <f>SUM(BH684:BH685)</f>
        <v>68028</v>
      </c>
      <c r="BI686" s="32">
        <f>SUM(BI684:BI685)</f>
        <v>1357</v>
      </c>
      <c r="BJ686" s="32">
        <f>SUM(BJ684:BJ685)</f>
        <v>69385</v>
      </c>
      <c r="BK686" s="128">
        <f>IF(BH686=0," ",(BJ686-BH686)/BH686)</f>
        <v>1.994766860704416E-2</v>
      </c>
      <c r="BM686" s="145">
        <f>SUM(BM684:BM685)</f>
        <v>69385</v>
      </c>
      <c r="BN686" s="145">
        <f>SUM(BN684:BN685)</f>
        <v>69385</v>
      </c>
      <c r="BP686" s="141"/>
      <c r="BR686" s="145">
        <f>SUM(BR684:BR685)</f>
        <v>69385</v>
      </c>
      <c r="BS686" s="145">
        <f>SUM(BS684:BS685)</f>
        <v>31103.279999999999</v>
      </c>
      <c r="BU686" s="145">
        <f>SUM(BU684:BU685)</f>
        <v>69385</v>
      </c>
      <c r="BV686" s="32">
        <f>SUM(BV684:BV685)</f>
        <v>1378</v>
      </c>
      <c r="BW686" s="595">
        <f>SUM(BW684:BW685)</f>
        <v>70763</v>
      </c>
      <c r="BX686" s="596">
        <f>IF(BU686=0," ",(BW686-BU686)/BU686)</f>
        <v>1.9860200331483752E-2</v>
      </c>
      <c r="BZ686" s="597">
        <f>SUM(BZ684:BZ685)</f>
        <v>70763</v>
      </c>
      <c r="CA686" s="597">
        <f>SUM(CA684:CA685)</f>
        <v>70763</v>
      </c>
      <c r="CC686" s="770"/>
      <c r="CE686" s="597">
        <f>SUM(CE684:CE685)</f>
        <v>70763</v>
      </c>
      <c r="CF686" s="597">
        <f>SUM(CF684:CF685)</f>
        <v>0</v>
      </c>
      <c r="CO686" s="16"/>
    </row>
    <row r="687" spans="1:93" x14ac:dyDescent="0.3">
      <c r="H687" s="26"/>
      <c r="R687" s="26"/>
      <c r="AF687" s="200"/>
      <c r="AH687" s="26"/>
      <c r="AR687" s="26"/>
      <c r="AS687" s="26"/>
      <c r="AU687" s="26"/>
      <c r="BE687" s="26"/>
      <c r="BF687" s="26"/>
      <c r="BH687" s="26"/>
      <c r="BM687" s="26"/>
      <c r="BN687" s="26"/>
      <c r="BR687" s="26"/>
      <c r="BS687" s="26"/>
      <c r="BU687" s="26"/>
      <c r="BZ687" s="589"/>
      <c r="CA687" s="589"/>
      <c r="CE687" s="589"/>
      <c r="CF687" s="589"/>
      <c r="CO687" s="16"/>
    </row>
    <row r="688" spans="1:93" x14ac:dyDescent="0.3">
      <c r="A688" s="11">
        <v>512</v>
      </c>
      <c r="B688" s="3" t="s">
        <v>2</v>
      </c>
      <c r="C688" s="37">
        <v>51202</v>
      </c>
      <c r="D688" s="37">
        <v>51140</v>
      </c>
      <c r="E688" s="49" t="s">
        <v>11</v>
      </c>
      <c r="F688" s="3" t="s">
        <v>2</v>
      </c>
      <c r="G688" s="3" t="s">
        <v>1061</v>
      </c>
      <c r="H688" s="26">
        <v>19478</v>
      </c>
      <c r="I688" s="244"/>
      <c r="J688" s="16">
        <f>H688+I688</f>
        <v>19478</v>
      </c>
      <c r="K688" s="122">
        <f>IF(H688=0," ",(J688-H688)/H688)</f>
        <v>0</v>
      </c>
      <c r="M688" s="117">
        <v>19478</v>
      </c>
      <c r="N688" s="117">
        <v>19478</v>
      </c>
      <c r="P688" s="259" t="s">
        <v>578</v>
      </c>
      <c r="R688" s="26">
        <v>19478</v>
      </c>
      <c r="S688" s="26">
        <v>17757.87</v>
      </c>
      <c r="U688" s="26">
        <v>19478</v>
      </c>
      <c r="V688" s="244">
        <v>2852</v>
      </c>
      <c r="W688" s="16">
        <f>U688+V688</f>
        <v>22330</v>
      </c>
      <c r="X688" s="122">
        <f>IF(U688=0," ",(W688-U688)/U688)</f>
        <v>0.146421603860766</v>
      </c>
      <c r="Z688" s="117">
        <v>22330</v>
      </c>
      <c r="AA688" s="117">
        <v>22330</v>
      </c>
      <c r="AC688" s="259" t="s">
        <v>666</v>
      </c>
      <c r="AE688" s="26">
        <v>22330</v>
      </c>
      <c r="AF688" s="200">
        <v>23549.63</v>
      </c>
      <c r="AH688" s="26">
        <v>22330</v>
      </c>
      <c r="AI688" s="244">
        <v>1910</v>
      </c>
      <c r="AJ688" s="16">
        <f>AH688+AI688</f>
        <v>24240</v>
      </c>
      <c r="AK688" s="122">
        <f>IF(AH688=0," ",(AJ688-AH688)/AH688)</f>
        <v>8.5535154500671742E-2</v>
      </c>
      <c r="AM688" s="117">
        <v>24240</v>
      </c>
      <c r="AN688" s="117">
        <v>24240</v>
      </c>
      <c r="AP688" s="259" t="s">
        <v>808</v>
      </c>
      <c r="AR688" s="26">
        <v>24240</v>
      </c>
      <c r="AS688" s="26">
        <v>24443.82</v>
      </c>
      <c r="AU688" s="26">
        <f>AR688</f>
        <v>24240</v>
      </c>
      <c r="AV688" s="244">
        <v>1044</v>
      </c>
      <c r="AW688" s="16">
        <f>AU688+AV688</f>
        <v>25284</v>
      </c>
      <c r="AX688" s="122">
        <f>IF(AU688=0," ",(AW688-AU688)/AU688)</f>
        <v>4.3069306930693066E-2</v>
      </c>
      <c r="AZ688" s="117">
        <v>25186</v>
      </c>
      <c r="BA688" s="117">
        <v>24786</v>
      </c>
      <c r="BC688" s="266" t="s">
        <v>1076</v>
      </c>
      <c r="BE688" s="26">
        <v>24786</v>
      </c>
      <c r="BF688" s="26">
        <v>24785.98</v>
      </c>
      <c r="BH688" s="26">
        <v>24786</v>
      </c>
      <c r="BI688" s="244">
        <v>505</v>
      </c>
      <c r="BJ688" s="16">
        <f>BH688+BI688</f>
        <v>25291</v>
      </c>
      <c r="BK688" s="122">
        <f>IF(BH688=0," ",(BJ688-BH688)/BH688)</f>
        <v>2.0374404905995319E-2</v>
      </c>
      <c r="BM688" s="117">
        <v>25291</v>
      </c>
      <c r="BN688" s="117">
        <f>25291+2977</f>
        <v>28268</v>
      </c>
      <c r="BP688" s="411" t="s">
        <v>1308</v>
      </c>
      <c r="BR688" s="117">
        <f>25291+2977</f>
        <v>28268</v>
      </c>
      <c r="BS688" s="26">
        <v>12552.56</v>
      </c>
      <c r="BU688" s="26">
        <f>25291+2977</f>
        <v>28268</v>
      </c>
      <c r="BV688" s="244">
        <v>455</v>
      </c>
      <c r="BW688" s="576">
        <f>BU688+BV688</f>
        <v>28723</v>
      </c>
      <c r="BX688" s="577">
        <f>IF(BU688=0," ",(BW688-BU688)/BU688)</f>
        <v>1.6095938870807982E-2</v>
      </c>
      <c r="BZ688" s="166">
        <v>28723</v>
      </c>
      <c r="CA688" s="166">
        <v>28723</v>
      </c>
      <c r="CC688" s="753" t="s">
        <v>1327</v>
      </c>
      <c r="CE688" s="166">
        <v>28723</v>
      </c>
      <c r="CF688" s="166"/>
      <c r="CO688" s="16"/>
    </row>
    <row r="689" spans="1:93" x14ac:dyDescent="0.3">
      <c r="A689" s="11">
        <v>512</v>
      </c>
      <c r="B689" s="3" t="s">
        <v>2</v>
      </c>
      <c r="C689" s="37">
        <v>51202</v>
      </c>
      <c r="D689" s="37">
        <v>51142</v>
      </c>
      <c r="E689" s="49" t="s">
        <v>11</v>
      </c>
      <c r="F689" s="3" t="s">
        <v>2</v>
      </c>
      <c r="G689" s="3" t="s">
        <v>607</v>
      </c>
      <c r="H689" s="26">
        <v>1326</v>
      </c>
      <c r="I689" s="244">
        <v>-1326</v>
      </c>
      <c r="J689" s="16">
        <f>H689+I689</f>
        <v>0</v>
      </c>
      <c r="K689" s="122">
        <f>IF(H689=0," ",(J689-H689)/H689)</f>
        <v>-1</v>
      </c>
      <c r="M689" s="117">
        <v>0</v>
      </c>
      <c r="N689" s="117">
        <v>0</v>
      </c>
      <c r="P689" s="152" t="s">
        <v>606</v>
      </c>
      <c r="R689" s="26">
        <v>0</v>
      </c>
      <c r="S689" s="26">
        <v>0</v>
      </c>
      <c r="U689" s="26">
        <v>0</v>
      </c>
      <c r="V689" s="244"/>
      <c r="W689" s="16">
        <f>U689+V689</f>
        <v>0</v>
      </c>
      <c r="X689" s="122" t="str">
        <f>IF(U689=0," ",(W689-U689)/U689)</f>
        <v xml:space="preserve"> </v>
      </c>
      <c r="Z689" s="117">
        <v>0</v>
      </c>
      <c r="AA689" s="117">
        <v>0</v>
      </c>
      <c r="AC689" s="152"/>
      <c r="AE689" s="26">
        <v>0</v>
      </c>
      <c r="AF689" s="200">
        <v>0</v>
      </c>
      <c r="AH689" s="26">
        <v>0</v>
      </c>
      <c r="AI689" s="244"/>
      <c r="AJ689" s="16">
        <f>AH689+AI689</f>
        <v>0</v>
      </c>
      <c r="AK689" s="122" t="str">
        <f>IF(AH689=0," ",(AJ689-AH689)/AH689)</f>
        <v xml:space="preserve"> </v>
      </c>
      <c r="AM689" s="117">
        <v>0</v>
      </c>
      <c r="AN689" s="117">
        <v>0</v>
      </c>
      <c r="AP689" s="152"/>
      <c r="AR689" s="26">
        <v>0</v>
      </c>
      <c r="AS689" s="26"/>
      <c r="AU689" s="26">
        <f>AR689</f>
        <v>0</v>
      </c>
      <c r="AV689" s="244"/>
      <c r="AW689" s="16">
        <f>AU689+AV689</f>
        <v>0</v>
      </c>
      <c r="AX689" s="122" t="str">
        <f>IF(AU689=0," ",(AW689-AU689)/AU689)</f>
        <v xml:space="preserve"> </v>
      </c>
      <c r="AZ689" s="117"/>
      <c r="BA689" s="117"/>
      <c r="BC689" s="152"/>
      <c r="BE689" s="26"/>
      <c r="BF689" s="26"/>
      <c r="BH689" s="26"/>
      <c r="BI689" s="244"/>
      <c r="BJ689" s="16">
        <f>BH689+BI689</f>
        <v>0</v>
      </c>
      <c r="BK689" s="122" t="str">
        <f>IF(BH689=0," ",(BJ689-BH689)/BH689)</f>
        <v xml:space="preserve"> </v>
      </c>
      <c r="BM689" s="117">
        <v>0</v>
      </c>
      <c r="BN689" s="117">
        <v>0</v>
      </c>
      <c r="BP689" s="152"/>
      <c r="BR689" s="117">
        <v>0</v>
      </c>
      <c r="BS689" s="26"/>
      <c r="BU689" s="26">
        <v>0</v>
      </c>
      <c r="BV689" s="244"/>
      <c r="BW689" s="576">
        <f>BU689+BV689</f>
        <v>0</v>
      </c>
      <c r="BX689" s="577" t="str">
        <f>IF(BU689=0," ",(BW689-BU689)/BU689)</f>
        <v xml:space="preserve"> </v>
      </c>
      <c r="BZ689" s="166">
        <v>0</v>
      </c>
      <c r="CA689" s="166">
        <v>0</v>
      </c>
      <c r="CC689" s="782"/>
      <c r="CE689" s="166">
        <v>0</v>
      </c>
      <c r="CF689" s="166"/>
      <c r="CO689" s="16"/>
    </row>
    <row r="690" spans="1:93" x14ac:dyDescent="0.3">
      <c r="A690" s="11">
        <v>512</v>
      </c>
      <c r="B690" s="3" t="s">
        <v>2</v>
      </c>
      <c r="C690" s="37">
        <v>51202</v>
      </c>
      <c r="D690" s="37">
        <v>51143</v>
      </c>
      <c r="E690" s="49" t="s">
        <v>11</v>
      </c>
      <c r="F690" s="3" t="s">
        <v>2</v>
      </c>
      <c r="G690" s="3" t="s">
        <v>608</v>
      </c>
      <c r="H690" s="26">
        <v>928</v>
      </c>
      <c r="I690" s="245"/>
      <c r="J690" s="16">
        <f>H690+I690</f>
        <v>928</v>
      </c>
      <c r="K690" s="122">
        <f>IF(H690=0," ",(J690-H690)/H690)</f>
        <v>0</v>
      </c>
      <c r="M690" s="118">
        <v>928</v>
      </c>
      <c r="N690" s="118">
        <v>928</v>
      </c>
      <c r="P690" s="137"/>
      <c r="R690" s="144">
        <v>928</v>
      </c>
      <c r="S690" s="144">
        <v>0</v>
      </c>
      <c r="U690" s="144">
        <v>928</v>
      </c>
      <c r="V690" s="245">
        <v>-928</v>
      </c>
      <c r="W690" s="16">
        <f>U690+V690</f>
        <v>0</v>
      </c>
      <c r="X690" s="122">
        <f>IF(U690=0," ",(W690-U690)/U690)</f>
        <v>-1</v>
      </c>
      <c r="Z690" s="118">
        <v>0</v>
      </c>
      <c r="AA690" s="118">
        <v>0</v>
      </c>
      <c r="AC690" s="137"/>
      <c r="AE690" s="144">
        <v>0</v>
      </c>
      <c r="AF690" s="271">
        <v>0</v>
      </c>
      <c r="AH690" s="144">
        <v>0</v>
      </c>
      <c r="AI690" s="245"/>
      <c r="AJ690" s="16">
        <f>AH690+AI690</f>
        <v>0</v>
      </c>
      <c r="AK690" s="122" t="str">
        <f>IF(AH690=0," ",(AJ690-AH690)/AH690)</f>
        <v xml:space="preserve"> </v>
      </c>
      <c r="AM690" s="117">
        <v>0</v>
      </c>
      <c r="AN690" s="117">
        <v>0</v>
      </c>
      <c r="AP690" s="137"/>
      <c r="AR690" s="26">
        <v>0</v>
      </c>
      <c r="AS690" s="26">
        <v>726.3</v>
      </c>
      <c r="AU690" s="26">
        <f>AR690</f>
        <v>0</v>
      </c>
      <c r="AV690" s="245"/>
      <c r="AW690" s="16">
        <f>AU690+AV690</f>
        <v>0</v>
      </c>
      <c r="AX690" s="122" t="str">
        <f>IF(AU690=0," ",(AW690-AU690)/AU690)</f>
        <v xml:space="preserve"> </v>
      </c>
      <c r="AZ690" s="117"/>
      <c r="BA690" s="117"/>
      <c r="BC690" s="266" t="s">
        <v>1081</v>
      </c>
      <c r="BE690" s="26"/>
      <c r="BF690" s="26">
        <v>245.58</v>
      </c>
      <c r="BH690" s="26"/>
      <c r="BI690" s="245"/>
      <c r="BJ690" s="16">
        <f>BH690+BI690</f>
        <v>0</v>
      </c>
      <c r="BK690" s="122" t="str">
        <f>IF(BH690=0," ",(BJ690-BH690)/BH690)</f>
        <v xml:space="preserve"> </v>
      </c>
      <c r="BM690" s="117">
        <v>0</v>
      </c>
      <c r="BN690" s="117"/>
      <c r="BP690" s="297" t="s">
        <v>1139</v>
      </c>
      <c r="BR690" s="117">
        <v>1000</v>
      </c>
      <c r="BS690" s="144">
        <v>309.31</v>
      </c>
      <c r="BU690" s="26">
        <v>1000</v>
      </c>
      <c r="BV690" s="245">
        <v>20</v>
      </c>
      <c r="BW690" s="576">
        <f>BU690+BV690</f>
        <v>1020</v>
      </c>
      <c r="BX690" s="577">
        <f>IF(BU690=0," ",(BW690-BU690)/BU690)</f>
        <v>0.02</v>
      </c>
      <c r="BZ690" s="166">
        <v>1020</v>
      </c>
      <c r="CA690" s="166">
        <v>1020</v>
      </c>
      <c r="CC690" s="753" t="s">
        <v>1330</v>
      </c>
      <c r="CE690" s="166">
        <v>1020</v>
      </c>
      <c r="CF690" s="166"/>
      <c r="CO690" s="16"/>
    </row>
    <row r="691" spans="1:93" x14ac:dyDescent="0.3">
      <c r="A691" s="12"/>
      <c r="H691" s="32">
        <f t="shared" ref="H691" si="331">SUM(H688:H690)</f>
        <v>21732</v>
      </c>
      <c r="I691" s="32">
        <f>SUM(I688:I690)</f>
        <v>-1326</v>
      </c>
      <c r="J691" s="32">
        <f>SUM(J688:J690)</f>
        <v>20406</v>
      </c>
      <c r="K691" s="128">
        <f>IF(H691=0," ",(J691-H691)/H691)</f>
        <v>-6.1016013252346769E-2</v>
      </c>
      <c r="M691" s="32">
        <f>SUM(M688:M690)</f>
        <v>20406</v>
      </c>
      <c r="N691" s="32">
        <f>SUM(N688:N690)</f>
        <v>20406</v>
      </c>
      <c r="P691" s="141">
        <f>SUM(P688:P690)</f>
        <v>0</v>
      </c>
      <c r="R691" s="32">
        <f>SUM(R688:R690)</f>
        <v>20406</v>
      </c>
      <c r="S691" s="32">
        <f>SUM(S688:S690)</f>
        <v>17757.87</v>
      </c>
      <c r="U691" s="32">
        <f>SUM(U688:U690)</f>
        <v>20406</v>
      </c>
      <c r="V691" s="32">
        <f>SUM(V688:V690)</f>
        <v>1924</v>
      </c>
      <c r="W691" s="32">
        <f>SUM(W688:W690)</f>
        <v>22330</v>
      </c>
      <c r="X691" s="128">
        <f>IF(U691=0," ",(W691-U691)/U691)</f>
        <v>9.4285994315397428E-2</v>
      </c>
      <c r="Z691" s="32">
        <f>SUM(Z688:Z690)</f>
        <v>22330</v>
      </c>
      <c r="AA691" s="32">
        <f>SUM(AA688:AA690)</f>
        <v>22330</v>
      </c>
      <c r="AC691" s="141"/>
      <c r="AE691" s="32">
        <f>SUM(AE688:AE690)</f>
        <v>22330</v>
      </c>
      <c r="AF691" s="202">
        <f>SUM(AF688:AF690)</f>
        <v>23549.63</v>
      </c>
      <c r="AH691" s="145">
        <v>22330</v>
      </c>
      <c r="AI691" s="32">
        <f>SUM(AI688:AI690)</f>
        <v>1910</v>
      </c>
      <c r="AJ691" s="32">
        <f>SUM(AJ688:AJ690)</f>
        <v>24240</v>
      </c>
      <c r="AK691" s="128">
        <f>IF(AH691=0," ",(AJ691-AH691)/AH691)</f>
        <v>8.5535154500671742E-2</v>
      </c>
      <c r="AM691" s="32">
        <f>SUM(AM688:AM690)</f>
        <v>24240</v>
      </c>
      <c r="AN691" s="32">
        <f>SUM(AN688:AN690)</f>
        <v>24240</v>
      </c>
      <c r="AP691" s="141"/>
      <c r="AR691" s="145">
        <f>SUM(AR688:AR690)</f>
        <v>24240</v>
      </c>
      <c r="AS691" s="145">
        <f>SUM(AS688:AS690)</f>
        <v>25170.12</v>
      </c>
      <c r="AU691" s="145">
        <f>SUM(AU688:AU690)</f>
        <v>24240</v>
      </c>
      <c r="AV691" s="32">
        <f>SUM(AV688:AV690)</f>
        <v>1044</v>
      </c>
      <c r="AW691" s="32">
        <f>SUM(AW688:AW690)</f>
        <v>25284</v>
      </c>
      <c r="AX691" s="128">
        <f>IF(AU691=0," ",(AW691-AU691)/AU691)</f>
        <v>4.3069306930693066E-2</v>
      </c>
      <c r="AZ691" s="32">
        <f>SUM(AZ688:AZ690)</f>
        <v>25186</v>
      </c>
      <c r="BA691" s="32">
        <f>SUM(BA688:BA690)</f>
        <v>24786</v>
      </c>
      <c r="BC691" s="141"/>
      <c r="BE691" s="145">
        <f>SUM(BE688:BE690)</f>
        <v>24786</v>
      </c>
      <c r="BF691" s="145">
        <f>SUM(BF688:BF690)</f>
        <v>25031.56</v>
      </c>
      <c r="BH691" s="145">
        <f>SUM(BH688:BH690)</f>
        <v>24786</v>
      </c>
      <c r="BI691" s="32">
        <f>SUM(BI688:BI690)</f>
        <v>505</v>
      </c>
      <c r="BJ691" s="32">
        <f>SUM(BJ688:BJ690)</f>
        <v>25291</v>
      </c>
      <c r="BK691" s="128">
        <f>IF(BH691=0," ",(BJ691-BH691)/BH691)</f>
        <v>2.0374404905995319E-2</v>
      </c>
      <c r="BM691" s="145">
        <f>SUM(BM688:BM690)</f>
        <v>25291</v>
      </c>
      <c r="BN691" s="145">
        <f>SUM(BN688:BN690)</f>
        <v>28268</v>
      </c>
      <c r="BP691" s="141"/>
      <c r="BR691" s="145">
        <f>SUM(BR688:BR690)</f>
        <v>29268</v>
      </c>
      <c r="BS691" s="145">
        <f>SUM(BS688:BS690)</f>
        <v>12861.869999999999</v>
      </c>
      <c r="BU691" s="145">
        <f>SUM(BU688:BU690)</f>
        <v>29268</v>
      </c>
      <c r="BV691" s="32">
        <f>SUM(BV688:BV690)</f>
        <v>475</v>
      </c>
      <c r="BW691" s="595">
        <f>SUM(BW688:BW690)</f>
        <v>29743</v>
      </c>
      <c r="BX691" s="596">
        <f>IF(BU691=0," ",(BW691-BU691)/BU691)</f>
        <v>1.6229328959956265E-2</v>
      </c>
      <c r="BZ691" s="597">
        <f>SUM(BZ688:BZ690)</f>
        <v>29743</v>
      </c>
      <c r="CA691" s="597">
        <f>SUM(CA688:CA690)</f>
        <v>29743</v>
      </c>
      <c r="CC691" s="770"/>
      <c r="CE691" s="597">
        <f>SUM(CE688:CE690)</f>
        <v>29743</v>
      </c>
      <c r="CF691" s="597">
        <f>SUM(CF688:CF690)</f>
        <v>0</v>
      </c>
      <c r="CO691" s="16"/>
    </row>
    <row r="692" spans="1:93" x14ac:dyDescent="0.3">
      <c r="AS692" s="16"/>
      <c r="CO692" s="16"/>
    </row>
    <row r="693" spans="1:93" s="19" customFormat="1" x14ac:dyDescent="0.3">
      <c r="A693" s="27"/>
      <c r="B693" s="8"/>
      <c r="C693" s="42"/>
      <c r="D693" s="42"/>
      <c r="E693" s="54"/>
      <c r="F693" s="8"/>
      <c r="G693" s="57" t="s">
        <v>193</v>
      </c>
      <c r="H693" s="28">
        <f t="shared" ref="H693" si="332">H686+H691</f>
        <v>95125</v>
      </c>
      <c r="I693" s="28">
        <f>I686+I691</f>
        <v>599</v>
      </c>
      <c r="J693" s="28">
        <f>J686+J691</f>
        <v>95724</v>
      </c>
      <c r="K693" s="123">
        <f>IF(H693=0," ",(J693-H693)/H693)</f>
        <v>6.2969776609724049E-3</v>
      </c>
      <c r="M693" s="28">
        <f>M686+M691</f>
        <v>95724</v>
      </c>
      <c r="N693" s="28">
        <f>N686+N691</f>
        <v>95724</v>
      </c>
      <c r="P693" s="139">
        <f>P686+P691</f>
        <v>0</v>
      </c>
      <c r="R693" s="28">
        <f>R686+R691</f>
        <v>95724</v>
      </c>
      <c r="S693" s="28">
        <f>S686+S691</f>
        <v>93290.97</v>
      </c>
      <c r="U693" s="28">
        <f>U686+U691</f>
        <v>95724</v>
      </c>
      <c r="V693" s="28">
        <f>V686+V691</f>
        <v>3422</v>
      </c>
      <c r="W693" s="28">
        <f>W686+W691</f>
        <v>99146</v>
      </c>
      <c r="X693" s="123">
        <f>IF(U693=0," ",(W693-U693)/U693)</f>
        <v>3.5748610588776063E-2</v>
      </c>
      <c r="Z693" s="28">
        <f>Z686+Z691</f>
        <v>99146</v>
      </c>
      <c r="AA693" s="28">
        <f>AA686+AA691</f>
        <v>99146</v>
      </c>
      <c r="AC693" s="139"/>
      <c r="AE693" s="28">
        <f>AE686+AE691</f>
        <v>99146</v>
      </c>
      <c r="AF693" s="201">
        <f>AF686+AF691</f>
        <v>84859.55</v>
      </c>
      <c r="AH693" s="28">
        <v>99146</v>
      </c>
      <c r="AI693" s="28">
        <f>AI686+AI691</f>
        <v>4025</v>
      </c>
      <c r="AJ693" s="28">
        <f>AJ686+AJ691</f>
        <v>103171</v>
      </c>
      <c r="AK693" s="123">
        <f>IF(AH693=0," ",(AJ693-AH693)/AH693)</f>
        <v>4.0596695781978095E-2</v>
      </c>
      <c r="AM693" s="28">
        <f>AM686+AM691</f>
        <v>103171</v>
      </c>
      <c r="AN693" s="28">
        <f>AN686+AN691</f>
        <v>103171</v>
      </c>
      <c r="AP693" s="139"/>
      <c r="AR693" s="28">
        <f>AR686+AR691</f>
        <v>103171</v>
      </c>
      <c r="AS693" s="28">
        <f>AS686+AS691</f>
        <v>86471.06</v>
      </c>
      <c r="AU693" s="28">
        <f>AU686+AU691</f>
        <v>103171</v>
      </c>
      <c r="AV693" s="28">
        <f>AV686+AV691</f>
        <v>-8502</v>
      </c>
      <c r="AW693" s="28">
        <f>AW686+AW691</f>
        <v>94669</v>
      </c>
      <c r="AX693" s="123">
        <f>IF(AU693=0," ",(AW693-AU693)/AU693)</f>
        <v>-8.2406877901735953E-2</v>
      </c>
      <c r="AZ693" s="28">
        <f>AZ686+AZ691</f>
        <v>94299</v>
      </c>
      <c r="BA693" s="28">
        <f>BA686+BA691</f>
        <v>92814</v>
      </c>
      <c r="BC693" s="139"/>
      <c r="BE693" s="28">
        <f>BE686+BE691</f>
        <v>92814</v>
      </c>
      <c r="BF693" s="28">
        <f>BF686+BF691</f>
        <v>93058.599999999991</v>
      </c>
      <c r="BG693" s="9"/>
      <c r="BH693" s="28">
        <f>BH686+BH691</f>
        <v>92814</v>
      </c>
      <c r="BI693" s="28">
        <f>BI686+BI691</f>
        <v>1862</v>
      </c>
      <c r="BJ693" s="28">
        <f>BJ686+BJ691</f>
        <v>94676</v>
      </c>
      <c r="BK693" s="123">
        <f>IF(BH693=0," ",(BJ693-BH693)/BH693)</f>
        <v>2.0061628633611307E-2</v>
      </c>
      <c r="BM693" s="28">
        <f>BM686+BM691</f>
        <v>94676</v>
      </c>
      <c r="BN693" s="28">
        <f>BN686+BN691</f>
        <v>97653</v>
      </c>
      <c r="BP693" s="139"/>
      <c r="BR693" s="28">
        <f>BR686+BR691</f>
        <v>98653</v>
      </c>
      <c r="BS693" s="28">
        <f>BS686+BS691</f>
        <v>43965.149999999994</v>
      </c>
      <c r="BT693" s="9"/>
      <c r="BU693" s="28">
        <f>BU686+BU691</f>
        <v>98653</v>
      </c>
      <c r="BV693" s="532">
        <f>BV686+BV691</f>
        <v>1853</v>
      </c>
      <c r="BW693" s="591">
        <f>BW686+BW691</f>
        <v>100506</v>
      </c>
      <c r="BX693" s="579">
        <f>IF(BU693=0," ",(BW693-BU693)/BU693)</f>
        <v>1.8783007105713966E-2</v>
      </c>
      <c r="BY693" s="580"/>
      <c r="BZ693" s="591">
        <f>BZ686+BZ691</f>
        <v>100506</v>
      </c>
      <c r="CA693" s="591">
        <f>CA686+CA691</f>
        <v>100506</v>
      </c>
      <c r="CB693" s="580"/>
      <c r="CC693" s="769"/>
      <c r="CD693" s="580"/>
      <c r="CE693" s="591">
        <f>CE686+CE691</f>
        <v>100506</v>
      </c>
      <c r="CF693" s="591">
        <f>CF686+CF691</f>
        <v>0</v>
      </c>
      <c r="CG693" s="9"/>
      <c r="CH693" s="815"/>
      <c r="CI693" s="815"/>
      <c r="CJ693" s="887"/>
      <c r="CO693" s="16"/>
    </row>
    <row r="694" spans="1:93" x14ac:dyDescent="0.3">
      <c r="H694" s="26"/>
      <c r="AI694" s="244"/>
      <c r="AS694" s="16"/>
      <c r="CO694" s="16"/>
    </row>
    <row r="695" spans="1:93" x14ac:dyDescent="0.3">
      <c r="A695" s="11">
        <v>512</v>
      </c>
      <c r="B695" s="3" t="s">
        <v>2</v>
      </c>
      <c r="C695" s="37">
        <v>51205</v>
      </c>
      <c r="D695" s="37">
        <v>52920</v>
      </c>
      <c r="E695" s="49" t="s">
        <v>118</v>
      </c>
      <c r="F695" s="3" t="s">
        <v>2</v>
      </c>
      <c r="G695" s="3" t="s">
        <v>1113</v>
      </c>
      <c r="H695" s="26">
        <v>1622</v>
      </c>
      <c r="I695" s="244"/>
      <c r="J695" s="16">
        <f t="shared" ref="J695:J707" si="333">H695+I695</f>
        <v>1622</v>
      </c>
      <c r="K695" s="122">
        <f t="shared" ref="K695:K707" si="334">IF(H695=0," ",(J695-H695)/H695)</f>
        <v>0</v>
      </c>
      <c r="M695" s="117">
        <v>1622</v>
      </c>
      <c r="N695" s="117">
        <v>1622</v>
      </c>
      <c r="P695" s="259"/>
      <c r="R695" s="26">
        <v>1622</v>
      </c>
      <c r="S695" s="26">
        <v>0</v>
      </c>
      <c r="U695" s="26">
        <v>1622</v>
      </c>
      <c r="V695" s="244"/>
      <c r="W695" s="16">
        <f t="shared" ref="W695:W707" si="335">U695+V695</f>
        <v>1622</v>
      </c>
      <c r="X695" s="122">
        <f t="shared" ref="X695:X707" si="336">IF(U695=0," ",(W695-U695)/U695)</f>
        <v>0</v>
      </c>
      <c r="Z695" s="117">
        <v>1622</v>
      </c>
      <c r="AA695" s="117">
        <v>1622</v>
      </c>
      <c r="AC695" s="259"/>
      <c r="AE695" s="26">
        <v>1622</v>
      </c>
      <c r="AF695" s="200">
        <v>0</v>
      </c>
      <c r="AH695" s="26">
        <v>1622</v>
      </c>
      <c r="AI695" s="244"/>
      <c r="AJ695" s="16">
        <f t="shared" ref="AJ695:AJ707" si="337">AH695+AI695</f>
        <v>1622</v>
      </c>
      <c r="AK695" s="122">
        <f t="shared" ref="AK695:AK707" si="338">IF(AH695=0," ",(AJ695-AH695)/AH695)</f>
        <v>0</v>
      </c>
      <c r="AM695" s="117">
        <v>1622</v>
      </c>
      <c r="AN695" s="117">
        <v>1622</v>
      </c>
      <c r="AP695" s="259"/>
      <c r="AR695" s="26">
        <v>1622</v>
      </c>
      <c r="AS695" s="26">
        <v>4095</v>
      </c>
      <c r="AU695" s="26">
        <f>AR695</f>
        <v>1622</v>
      </c>
      <c r="AV695" s="244"/>
      <c r="AW695" s="16">
        <f t="shared" ref="AW695:AW707" si="339">AU695+AV695</f>
        <v>1622</v>
      </c>
      <c r="AX695" s="122">
        <f t="shared" ref="AX695:AX707" si="340">IF(AU695=0," ",(AW695-AU695)/AU695)</f>
        <v>0</v>
      </c>
      <c r="AZ695" s="117">
        <v>1622</v>
      </c>
      <c r="BA695" s="117">
        <f>1622+2678</f>
        <v>4300</v>
      </c>
      <c r="BC695" s="266" t="s">
        <v>981</v>
      </c>
      <c r="BE695" s="26">
        <f>1622+2678</f>
        <v>4300</v>
      </c>
      <c r="BF695" s="26">
        <v>4665</v>
      </c>
      <c r="BH695" s="26">
        <f>1622+2678</f>
        <v>4300</v>
      </c>
      <c r="BI695" s="244"/>
      <c r="BJ695" s="16">
        <f>BH695+BI695</f>
        <v>4300</v>
      </c>
      <c r="BK695" s="122">
        <f>IF(BH695=0," ",(BJ695-BH695)/BH695)</f>
        <v>0</v>
      </c>
      <c r="BM695" s="117">
        <v>4300</v>
      </c>
      <c r="BN695" s="117">
        <f>4300+2700</f>
        <v>7000</v>
      </c>
      <c r="BP695" s="266" t="s">
        <v>1201</v>
      </c>
      <c r="BR695" s="117">
        <f>4300+2700</f>
        <v>7000</v>
      </c>
      <c r="BS695" s="26">
        <v>1395</v>
      </c>
      <c r="BU695" s="26">
        <f>4300+2700</f>
        <v>7000</v>
      </c>
      <c r="BV695" s="244">
        <v>500</v>
      </c>
      <c r="BW695" s="576">
        <f>BU695+BV695</f>
        <v>7500</v>
      </c>
      <c r="BX695" s="577">
        <f>IF(BU695=0," ",(BW695-BU695)/BU695)</f>
        <v>7.1428571428571425E-2</v>
      </c>
      <c r="BZ695" s="166">
        <v>7500</v>
      </c>
      <c r="CA695" s="166">
        <v>7500</v>
      </c>
      <c r="CC695" s="753" t="s">
        <v>1328</v>
      </c>
      <c r="CE695" s="166">
        <v>7500</v>
      </c>
      <c r="CF695" s="166"/>
      <c r="CO695" s="16"/>
    </row>
    <row r="696" spans="1:93" x14ac:dyDescent="0.3">
      <c r="A696" s="11">
        <v>512</v>
      </c>
      <c r="B696" s="3" t="s">
        <v>2</v>
      </c>
      <c r="C696" s="37">
        <v>51205</v>
      </c>
      <c r="D696" s="37">
        <v>52940</v>
      </c>
      <c r="E696" s="49" t="s">
        <v>118</v>
      </c>
      <c r="F696" s="3" t="s">
        <v>2</v>
      </c>
      <c r="G696" s="3" t="s">
        <v>1112</v>
      </c>
      <c r="H696" s="26"/>
      <c r="I696" s="244"/>
      <c r="M696" s="117"/>
      <c r="N696" s="117"/>
      <c r="P696" s="259"/>
      <c r="R696" s="26"/>
      <c r="S696" s="26"/>
      <c r="U696" s="26"/>
      <c r="V696" s="244"/>
      <c r="Z696" s="117"/>
      <c r="AA696" s="117"/>
      <c r="AC696" s="259"/>
      <c r="AE696" s="26"/>
      <c r="AF696" s="200"/>
      <c r="AH696" s="26"/>
      <c r="AI696" s="244"/>
      <c r="AM696" s="117"/>
      <c r="AN696" s="117"/>
      <c r="AP696" s="259"/>
      <c r="AR696" s="26"/>
      <c r="AS696" s="26"/>
      <c r="AU696" s="26"/>
      <c r="AV696" s="244"/>
      <c r="AZ696" s="117"/>
      <c r="BA696" s="117"/>
      <c r="BC696" s="259"/>
      <c r="BE696" s="26"/>
      <c r="BF696" s="26">
        <v>375</v>
      </c>
      <c r="BH696" s="26"/>
      <c r="BI696" s="244"/>
      <c r="BJ696" s="16">
        <f>BH696+BI696</f>
        <v>0</v>
      </c>
      <c r="BK696" s="122" t="str">
        <f>IF(BH696=0," ",(BJ696-BH696)/BH696)</f>
        <v xml:space="preserve"> </v>
      </c>
      <c r="BM696" s="117">
        <v>0</v>
      </c>
      <c r="BN696" s="117">
        <v>1750</v>
      </c>
      <c r="BP696" s="266" t="s">
        <v>1203</v>
      </c>
      <c r="BR696" s="117">
        <v>1750</v>
      </c>
      <c r="BS696" s="26">
        <v>125</v>
      </c>
      <c r="BU696" s="26">
        <v>1750</v>
      </c>
      <c r="BV696" s="244"/>
      <c r="BW696" s="576">
        <f>BU696+BV696</f>
        <v>1750</v>
      </c>
      <c r="BX696" s="577">
        <f>IF(BU696=0," ",(BW696-BU696)/BU696)</f>
        <v>0</v>
      </c>
      <c r="BZ696" s="166">
        <v>1750</v>
      </c>
      <c r="CA696" s="166">
        <v>1750</v>
      </c>
      <c r="CC696" s="753"/>
      <c r="CE696" s="166">
        <v>1750</v>
      </c>
      <c r="CF696" s="166"/>
      <c r="CO696" s="16"/>
    </row>
    <row r="697" spans="1:93" x14ac:dyDescent="0.3">
      <c r="A697" s="11">
        <v>512</v>
      </c>
      <c r="B697" s="3" t="s">
        <v>2</v>
      </c>
      <c r="C697" s="37">
        <v>51205</v>
      </c>
      <c r="D697" s="37">
        <v>53120</v>
      </c>
      <c r="E697" s="49" t="s">
        <v>118</v>
      </c>
      <c r="F697" s="3" t="s">
        <v>2</v>
      </c>
      <c r="G697" s="3" t="s">
        <v>425</v>
      </c>
      <c r="H697" s="26">
        <v>10243</v>
      </c>
      <c r="I697" s="244"/>
      <c r="J697" s="16">
        <f t="shared" si="333"/>
        <v>10243</v>
      </c>
      <c r="K697" s="122">
        <f t="shared" si="334"/>
        <v>0</v>
      </c>
      <c r="M697" s="117">
        <v>10243</v>
      </c>
      <c r="N697" s="117">
        <v>10243</v>
      </c>
      <c r="P697" s="259"/>
      <c r="R697" s="26">
        <v>10243</v>
      </c>
      <c r="S697" s="26">
        <v>9136.6200000000008</v>
      </c>
      <c r="U697" s="26">
        <v>10243</v>
      </c>
      <c r="V697" s="244"/>
      <c r="W697" s="16">
        <f t="shared" si="335"/>
        <v>10243</v>
      </c>
      <c r="X697" s="122">
        <f t="shared" si="336"/>
        <v>0</v>
      </c>
      <c r="Z697" s="117">
        <v>10243</v>
      </c>
      <c r="AA697" s="117">
        <v>10243</v>
      </c>
      <c r="AC697" s="259"/>
      <c r="AE697" s="26">
        <v>10243</v>
      </c>
      <c r="AF697" s="200">
        <v>8750</v>
      </c>
      <c r="AH697" s="26">
        <v>10243</v>
      </c>
      <c r="AI697" s="244"/>
      <c r="AJ697" s="16">
        <f t="shared" si="337"/>
        <v>10243</v>
      </c>
      <c r="AK697" s="122">
        <f t="shared" si="338"/>
        <v>0</v>
      </c>
      <c r="AM697" s="117">
        <v>10243</v>
      </c>
      <c r="AN697" s="117">
        <v>10243</v>
      </c>
      <c r="AP697" s="259"/>
      <c r="AR697" s="26">
        <v>10243</v>
      </c>
      <c r="AS697" s="26">
        <v>8750</v>
      </c>
      <c r="AU697" s="26">
        <f t="shared" ref="AU697:AU707" si="341">AR697</f>
        <v>10243</v>
      </c>
      <c r="AV697" s="244"/>
      <c r="AW697" s="16">
        <f t="shared" si="339"/>
        <v>10243</v>
      </c>
      <c r="AX697" s="122">
        <f t="shared" si="340"/>
        <v>0</v>
      </c>
      <c r="AZ697" s="117">
        <v>10243</v>
      </c>
      <c r="BA697" s="117">
        <v>10243</v>
      </c>
      <c r="BC697" s="259"/>
      <c r="BE697" s="26">
        <v>10243</v>
      </c>
      <c r="BF697" s="26">
        <v>9187.5</v>
      </c>
      <c r="BH697" s="26">
        <v>10243</v>
      </c>
      <c r="BI697" s="244"/>
      <c r="BJ697" s="16">
        <f>BH697+BI697</f>
        <v>10243</v>
      </c>
      <c r="BK697" s="122">
        <f>IF(BH697=0," ",(BJ697-BH697)/BH697)</f>
        <v>0</v>
      </c>
      <c r="BM697" s="117">
        <v>10243</v>
      </c>
      <c r="BN697" s="117">
        <v>10243</v>
      </c>
      <c r="BP697" s="259"/>
      <c r="BR697" s="117">
        <v>10243</v>
      </c>
      <c r="BS697" s="26">
        <v>3062.72</v>
      </c>
      <c r="BU697" s="26">
        <v>10243</v>
      </c>
      <c r="BV697" s="244"/>
      <c r="BW697" s="576">
        <f>BU697+BV697</f>
        <v>10243</v>
      </c>
      <c r="BX697" s="577">
        <f>IF(BU697=0," ",(BW697-BU697)/BU697)</f>
        <v>0</v>
      </c>
      <c r="BZ697" s="166">
        <v>10243</v>
      </c>
      <c r="CA697" s="166">
        <v>10243</v>
      </c>
      <c r="CC697" s="753"/>
      <c r="CE697" s="166">
        <v>10243</v>
      </c>
      <c r="CF697" s="166"/>
      <c r="CO697" s="16"/>
    </row>
    <row r="698" spans="1:93" x14ac:dyDescent="0.3">
      <c r="A698" s="11">
        <v>512</v>
      </c>
      <c r="C698" s="37">
        <v>51200</v>
      </c>
      <c r="D698" s="37">
        <v>53124</v>
      </c>
      <c r="E698" s="49" t="s">
        <v>118</v>
      </c>
      <c r="G698" s="3" t="s">
        <v>1103</v>
      </c>
      <c r="H698" s="26"/>
      <c r="I698" s="244"/>
      <c r="M698" s="117"/>
      <c r="N698" s="117"/>
      <c r="P698" s="259"/>
      <c r="R698" s="26"/>
      <c r="S698" s="26"/>
      <c r="U698" s="26"/>
      <c r="V698" s="244"/>
      <c r="Z698" s="117"/>
      <c r="AA698" s="117"/>
      <c r="AC698" s="259"/>
      <c r="AE698" s="26"/>
      <c r="AF698" s="200"/>
      <c r="AH698" s="26"/>
      <c r="AI698" s="244"/>
      <c r="AM698" s="117"/>
      <c r="AN698" s="117"/>
      <c r="AP698" s="259"/>
      <c r="AR698" s="26"/>
      <c r="AS698" s="26">
        <v>0</v>
      </c>
      <c r="AU698" s="26">
        <f t="shared" si="341"/>
        <v>0</v>
      </c>
      <c r="AV698" s="244"/>
      <c r="AW698" s="16">
        <f>AU698+AV698</f>
        <v>0</v>
      </c>
      <c r="AX698" s="122" t="str">
        <f>IF(AU698=0," ",(AW698-AU698)/AU698)</f>
        <v xml:space="preserve"> </v>
      </c>
      <c r="AZ698" s="117">
        <v>0</v>
      </c>
      <c r="BA698" s="117">
        <v>3700</v>
      </c>
      <c r="BC698" s="266" t="s">
        <v>980</v>
      </c>
      <c r="BE698" s="26">
        <v>3700</v>
      </c>
      <c r="BF698" s="26">
        <v>6801.4</v>
      </c>
      <c r="BH698" s="26">
        <v>3700</v>
      </c>
      <c r="BI698" s="244"/>
      <c r="BJ698" s="16">
        <f>BH698+BI698</f>
        <v>3700</v>
      </c>
      <c r="BK698" s="122">
        <f>IF(BH698=0," ",(BJ698-BH698)/BH698)</f>
        <v>0</v>
      </c>
      <c r="BM698" s="117">
        <v>3700</v>
      </c>
      <c r="BN698" s="117">
        <f>3700+5040</f>
        <v>8740</v>
      </c>
      <c r="BP698" s="266" t="s">
        <v>1202</v>
      </c>
      <c r="BR698" s="117">
        <f>3700+5040</f>
        <v>8740</v>
      </c>
      <c r="BS698" s="26">
        <v>3520.72</v>
      </c>
      <c r="BU698" s="26">
        <f>3700+5040</f>
        <v>8740</v>
      </c>
      <c r="BV698" s="244"/>
      <c r="BW698" s="576">
        <f>BU698+BV698</f>
        <v>8740</v>
      </c>
      <c r="BX698" s="577">
        <f>IF(BU698=0," ",(BW698-BU698)/BU698)</f>
        <v>0</v>
      </c>
      <c r="BZ698" s="166">
        <v>8740</v>
      </c>
      <c r="CA698" s="166">
        <v>8740</v>
      </c>
      <c r="CC698" s="753"/>
      <c r="CE698" s="166">
        <v>8740</v>
      </c>
      <c r="CF698" s="166"/>
      <c r="CO698" s="16"/>
    </row>
    <row r="699" spans="1:93" x14ac:dyDescent="0.3">
      <c r="A699" s="11">
        <v>512</v>
      </c>
      <c r="B699" s="3" t="s">
        <v>2</v>
      </c>
      <c r="C699" s="37">
        <v>51205</v>
      </c>
      <c r="D699" s="37">
        <v>53200</v>
      </c>
      <c r="E699" s="49" t="s">
        <v>118</v>
      </c>
      <c r="F699" s="3" t="s">
        <v>2</v>
      </c>
      <c r="G699" s="3" t="s">
        <v>424</v>
      </c>
      <c r="H699" s="26">
        <v>476</v>
      </c>
      <c r="I699" s="244">
        <v>24</v>
      </c>
      <c r="J699" s="16">
        <f>H699+I699</f>
        <v>500</v>
      </c>
      <c r="K699" s="122">
        <f>IF(H699=0," ",(J699-H699)/H699)</f>
        <v>5.0420168067226892E-2</v>
      </c>
      <c r="M699" s="117">
        <v>500</v>
      </c>
      <c r="N699" s="117">
        <v>500</v>
      </c>
      <c r="P699" s="259"/>
      <c r="R699" s="26">
        <v>500</v>
      </c>
      <c r="S699" s="26">
        <v>40</v>
      </c>
      <c r="U699" s="26">
        <v>500</v>
      </c>
      <c r="V699" s="244"/>
      <c r="W699" s="16">
        <f>U699+V699</f>
        <v>500</v>
      </c>
      <c r="X699" s="122">
        <f>IF(U699=0," ",(W699-U699)/U699)</f>
        <v>0</v>
      </c>
      <c r="Z699" s="117">
        <v>500</v>
      </c>
      <c r="AA699" s="117">
        <v>500</v>
      </c>
      <c r="AC699" s="259"/>
      <c r="AE699" s="26">
        <v>500</v>
      </c>
      <c r="AF699" s="200">
        <v>65</v>
      </c>
      <c r="AH699" s="26">
        <v>500</v>
      </c>
      <c r="AI699" s="244"/>
      <c r="AJ699" s="16">
        <f>AH699+AI699</f>
        <v>500</v>
      </c>
      <c r="AK699" s="122">
        <f>IF(AH699=0," ",(AJ699-AH699)/AH699)</f>
        <v>0</v>
      </c>
      <c r="AM699" s="117">
        <v>500</v>
      </c>
      <c r="AN699" s="117">
        <v>500</v>
      </c>
      <c r="AP699" s="259"/>
      <c r="AR699" s="26">
        <v>500</v>
      </c>
      <c r="AS699" s="26">
        <v>477.19</v>
      </c>
      <c r="AU699" s="26">
        <f t="shared" si="341"/>
        <v>500</v>
      </c>
      <c r="AV699" s="244"/>
      <c r="AW699" s="16">
        <f>AU699+AV699</f>
        <v>500</v>
      </c>
      <c r="AX699" s="122">
        <f>IF(AU699=0," ",(AW699-AU699)/AU699)</f>
        <v>0</v>
      </c>
      <c r="AZ699" s="117">
        <v>500</v>
      </c>
      <c r="BA699" s="117">
        <v>500</v>
      </c>
      <c r="BC699" s="259"/>
      <c r="BE699" s="26">
        <v>500</v>
      </c>
      <c r="BF699" s="26">
        <v>0</v>
      </c>
      <c r="BH699" s="26">
        <v>500</v>
      </c>
      <c r="BI699" s="244"/>
      <c r="BJ699" s="16">
        <f>BH699+BI699</f>
        <v>500</v>
      </c>
      <c r="BK699" s="122">
        <f>IF(BH699=0," ",(BJ699-BH699)/BH699)</f>
        <v>0</v>
      </c>
      <c r="BM699" s="117">
        <v>500</v>
      </c>
      <c r="BN699" s="117">
        <v>500</v>
      </c>
      <c r="BP699" s="259"/>
      <c r="BR699" s="117">
        <v>500</v>
      </c>
      <c r="BS699" s="26"/>
      <c r="BU699" s="26">
        <v>500</v>
      </c>
      <c r="BV699" s="244"/>
      <c r="BW699" s="576">
        <f>BU699+BV699</f>
        <v>500</v>
      </c>
      <c r="BX699" s="577">
        <f>IF(BU699=0," ",(BW699-BU699)/BU699)</f>
        <v>0</v>
      </c>
      <c r="BZ699" s="166">
        <v>500</v>
      </c>
      <c r="CA699" s="166">
        <v>500</v>
      </c>
      <c r="CC699" s="753"/>
      <c r="CE699" s="166">
        <v>500</v>
      </c>
      <c r="CF699" s="166"/>
      <c r="CO699" s="16"/>
    </row>
    <row r="700" spans="1:93" x14ac:dyDescent="0.3">
      <c r="A700" s="11">
        <v>512</v>
      </c>
      <c r="B700" s="3" t="s">
        <v>2</v>
      </c>
      <c r="C700" s="37">
        <v>51205</v>
      </c>
      <c r="D700" s="37">
        <v>53400</v>
      </c>
      <c r="E700" s="49" t="s">
        <v>118</v>
      </c>
      <c r="F700" s="3" t="s">
        <v>2</v>
      </c>
      <c r="G700" s="3" t="s">
        <v>426</v>
      </c>
      <c r="H700" s="26">
        <v>954</v>
      </c>
      <c r="I700" s="244">
        <v>100</v>
      </c>
      <c r="J700" s="16">
        <f t="shared" si="333"/>
        <v>1054</v>
      </c>
      <c r="K700" s="122">
        <f t="shared" si="334"/>
        <v>0.10482180293501048</v>
      </c>
      <c r="M700" s="117">
        <v>1054</v>
      </c>
      <c r="N700" s="117">
        <v>1054</v>
      </c>
      <c r="P700" s="259"/>
      <c r="R700" s="26">
        <v>1054</v>
      </c>
      <c r="S700" s="26">
        <v>1155.9100000000001</v>
      </c>
      <c r="U700" s="26">
        <v>1054</v>
      </c>
      <c r="V700" s="244"/>
      <c r="W700" s="16">
        <f t="shared" si="335"/>
        <v>1054</v>
      </c>
      <c r="X700" s="122">
        <f t="shared" si="336"/>
        <v>0</v>
      </c>
      <c r="Z700" s="117">
        <v>1054</v>
      </c>
      <c r="AA700" s="117">
        <v>1054</v>
      </c>
      <c r="AC700" s="259"/>
      <c r="AE700" s="26">
        <v>1054</v>
      </c>
      <c r="AF700" s="200">
        <v>1257.17</v>
      </c>
      <c r="AH700" s="26">
        <v>1054</v>
      </c>
      <c r="AI700" s="244"/>
      <c r="AJ700" s="16">
        <f t="shared" si="337"/>
        <v>1054</v>
      </c>
      <c r="AK700" s="122">
        <f t="shared" si="338"/>
        <v>0</v>
      </c>
      <c r="AM700" s="117">
        <v>1054</v>
      </c>
      <c r="AN700" s="117">
        <v>1054</v>
      </c>
      <c r="AP700" s="259"/>
      <c r="AR700" s="26">
        <v>1054</v>
      </c>
      <c r="AS700" s="26">
        <v>626.03</v>
      </c>
      <c r="AU700" s="26">
        <f t="shared" si="341"/>
        <v>1054</v>
      </c>
      <c r="AV700" s="244"/>
      <c r="AW700" s="16">
        <f t="shared" si="339"/>
        <v>1054</v>
      </c>
      <c r="AX700" s="122">
        <f t="shared" si="340"/>
        <v>0</v>
      </c>
      <c r="AZ700" s="117">
        <v>1054</v>
      </c>
      <c r="BA700" s="117">
        <v>1054</v>
      </c>
      <c r="BC700" s="259"/>
      <c r="BE700" s="26">
        <v>1054</v>
      </c>
      <c r="BF700" s="26">
        <v>648.95000000000005</v>
      </c>
      <c r="BH700" s="26">
        <v>1054</v>
      </c>
      <c r="BI700" s="244"/>
      <c r="BJ700" s="16">
        <f t="shared" ref="BJ700:BJ707" si="342">BH700+BI700</f>
        <v>1054</v>
      </c>
      <c r="BK700" s="122">
        <f t="shared" ref="BK700:BK707" si="343">IF(BH700=0," ",(BJ700-BH700)/BH700)</f>
        <v>0</v>
      </c>
      <c r="BM700" s="117">
        <v>1054</v>
      </c>
      <c r="BN700" s="117">
        <v>1054</v>
      </c>
      <c r="BP700" s="259"/>
      <c r="BR700" s="117">
        <v>1054</v>
      </c>
      <c r="BS700" s="26">
        <v>254.5</v>
      </c>
      <c r="BU700" s="26">
        <v>1054</v>
      </c>
      <c r="BV700" s="244"/>
      <c r="BW700" s="576">
        <f t="shared" ref="BW700:BW707" si="344">BU700+BV700</f>
        <v>1054</v>
      </c>
      <c r="BX700" s="577">
        <f t="shared" ref="BX700:BX707" si="345">IF(BU700=0," ",(BW700-BU700)/BU700)</f>
        <v>0</v>
      </c>
      <c r="BZ700" s="166">
        <v>1054</v>
      </c>
      <c r="CA700" s="166">
        <v>1054</v>
      </c>
      <c r="CC700" s="753"/>
      <c r="CE700" s="166">
        <v>1054</v>
      </c>
      <c r="CF700" s="166"/>
      <c r="CO700" s="16"/>
    </row>
    <row r="701" spans="1:93" x14ac:dyDescent="0.3">
      <c r="A701" s="11">
        <v>512</v>
      </c>
      <c r="B701" s="3" t="s">
        <v>2</v>
      </c>
      <c r="C701" s="37">
        <v>51205</v>
      </c>
      <c r="D701" s="37">
        <v>53430</v>
      </c>
      <c r="E701" s="49" t="s">
        <v>118</v>
      </c>
      <c r="F701" s="3" t="s">
        <v>2</v>
      </c>
      <c r="G701" s="3" t="s">
        <v>427</v>
      </c>
      <c r="H701" s="26">
        <v>212</v>
      </c>
      <c r="I701" s="244">
        <v>0</v>
      </c>
      <c r="J701" s="16">
        <f t="shared" si="333"/>
        <v>212</v>
      </c>
      <c r="K701" s="122">
        <f t="shared" si="334"/>
        <v>0</v>
      </c>
      <c r="M701" s="117">
        <v>212</v>
      </c>
      <c r="N701" s="117">
        <v>212</v>
      </c>
      <c r="P701" s="259"/>
      <c r="R701" s="26">
        <v>212</v>
      </c>
      <c r="S701" s="26">
        <v>411</v>
      </c>
      <c r="U701" s="26">
        <v>212</v>
      </c>
      <c r="V701" s="244"/>
      <c r="W701" s="16">
        <f t="shared" si="335"/>
        <v>212</v>
      </c>
      <c r="X701" s="122">
        <f t="shared" si="336"/>
        <v>0</v>
      </c>
      <c r="Z701" s="117">
        <v>212</v>
      </c>
      <c r="AA701" s="117">
        <v>212</v>
      </c>
      <c r="AC701" s="259"/>
      <c r="AE701" s="26">
        <v>212</v>
      </c>
      <c r="AF701" s="200">
        <v>278.31</v>
      </c>
      <c r="AH701" s="26">
        <v>212</v>
      </c>
      <c r="AI701" s="244"/>
      <c r="AJ701" s="16">
        <f t="shared" si="337"/>
        <v>212</v>
      </c>
      <c r="AK701" s="122">
        <f t="shared" si="338"/>
        <v>0</v>
      </c>
      <c r="AM701" s="117">
        <v>212</v>
      </c>
      <c r="AN701" s="117">
        <v>212</v>
      </c>
      <c r="AP701" s="259"/>
      <c r="AR701" s="26">
        <v>212</v>
      </c>
      <c r="AS701" s="26">
        <v>443.66</v>
      </c>
      <c r="AU701" s="26">
        <f t="shared" si="341"/>
        <v>212</v>
      </c>
      <c r="AV701" s="244"/>
      <c r="AW701" s="16">
        <f t="shared" si="339"/>
        <v>212</v>
      </c>
      <c r="AX701" s="122">
        <f t="shared" si="340"/>
        <v>0</v>
      </c>
      <c r="AZ701" s="117">
        <v>212</v>
      </c>
      <c r="BA701" s="117">
        <v>212</v>
      </c>
      <c r="BC701" s="259"/>
      <c r="BE701" s="26">
        <v>212</v>
      </c>
      <c r="BF701" s="26">
        <v>403.76</v>
      </c>
      <c r="BH701" s="26">
        <v>212</v>
      </c>
      <c r="BI701" s="244"/>
      <c r="BJ701" s="16">
        <f t="shared" si="342"/>
        <v>212</v>
      </c>
      <c r="BK701" s="122">
        <f t="shared" si="343"/>
        <v>0</v>
      </c>
      <c r="BM701" s="117">
        <v>212</v>
      </c>
      <c r="BN701" s="117">
        <v>212</v>
      </c>
      <c r="BP701" s="259"/>
      <c r="BR701" s="117">
        <v>212</v>
      </c>
      <c r="BS701" s="26">
        <v>186.3</v>
      </c>
      <c r="BU701" s="26">
        <v>212</v>
      </c>
      <c r="BV701" s="244"/>
      <c r="BW701" s="576">
        <f t="shared" si="344"/>
        <v>212</v>
      </c>
      <c r="BX701" s="577">
        <f t="shared" si="345"/>
        <v>0</v>
      </c>
      <c r="BZ701" s="166">
        <v>212</v>
      </c>
      <c r="CA701" s="166">
        <v>212</v>
      </c>
      <c r="CC701" s="753"/>
      <c r="CE701" s="166">
        <v>212</v>
      </c>
      <c r="CF701" s="166"/>
      <c r="CO701" s="16"/>
    </row>
    <row r="702" spans="1:93" x14ac:dyDescent="0.3">
      <c r="A702" s="11">
        <v>512</v>
      </c>
      <c r="B702" s="3" t="s">
        <v>2</v>
      </c>
      <c r="C702" s="37">
        <v>51205</v>
      </c>
      <c r="D702" s="37">
        <v>53800</v>
      </c>
      <c r="E702" s="49" t="s">
        <v>118</v>
      </c>
      <c r="F702" s="3" t="s">
        <v>2</v>
      </c>
      <c r="G702" s="3" t="s">
        <v>428</v>
      </c>
      <c r="H702" s="26">
        <v>3254</v>
      </c>
      <c r="I702" s="244">
        <v>1200</v>
      </c>
      <c r="J702" s="16">
        <f t="shared" si="333"/>
        <v>4454</v>
      </c>
      <c r="K702" s="122">
        <f t="shared" si="334"/>
        <v>0.36877688998156116</v>
      </c>
      <c r="M702" s="117">
        <v>4454</v>
      </c>
      <c r="N702" s="117">
        <v>4454</v>
      </c>
      <c r="P702" s="152" t="s">
        <v>581</v>
      </c>
      <c r="R702" s="26">
        <v>4454</v>
      </c>
      <c r="S702" s="26">
        <v>0</v>
      </c>
      <c r="U702" s="26">
        <v>4454</v>
      </c>
      <c r="V702" s="244"/>
      <c r="W702" s="16">
        <f t="shared" si="335"/>
        <v>4454</v>
      </c>
      <c r="X702" s="122">
        <f t="shared" si="336"/>
        <v>0</v>
      </c>
      <c r="Z702" s="117">
        <v>4454</v>
      </c>
      <c r="AA702" s="117">
        <v>4454</v>
      </c>
      <c r="AC702" s="152"/>
      <c r="AE702" s="26">
        <v>4454</v>
      </c>
      <c r="AF702" s="200">
        <v>5312.5</v>
      </c>
      <c r="AH702" s="26">
        <v>4454</v>
      </c>
      <c r="AI702" s="244"/>
      <c r="AJ702" s="16">
        <f t="shared" si="337"/>
        <v>4454</v>
      </c>
      <c r="AK702" s="122">
        <f t="shared" si="338"/>
        <v>0</v>
      </c>
      <c r="AM702" s="117">
        <v>4454</v>
      </c>
      <c r="AN702" s="117">
        <v>4454</v>
      </c>
      <c r="AP702" s="152"/>
      <c r="AR702" s="26">
        <v>4454</v>
      </c>
      <c r="AS702" s="26">
        <v>1786.42</v>
      </c>
      <c r="AU702" s="26">
        <f t="shared" si="341"/>
        <v>4454</v>
      </c>
      <c r="AV702" s="244"/>
      <c r="AW702" s="16">
        <f t="shared" si="339"/>
        <v>4454</v>
      </c>
      <c r="AX702" s="122">
        <f t="shared" si="340"/>
        <v>0</v>
      </c>
      <c r="AZ702" s="117">
        <v>4454</v>
      </c>
      <c r="BA702" s="117">
        <v>4454</v>
      </c>
      <c r="BC702" s="152"/>
      <c r="BE702" s="26">
        <v>4454</v>
      </c>
      <c r="BF702" s="26">
        <v>0</v>
      </c>
      <c r="BH702" s="26">
        <v>4454</v>
      </c>
      <c r="BI702" s="244"/>
      <c r="BJ702" s="16">
        <f t="shared" si="342"/>
        <v>4454</v>
      </c>
      <c r="BK702" s="122">
        <f t="shared" si="343"/>
        <v>0</v>
      </c>
      <c r="BM702" s="117">
        <v>4454</v>
      </c>
      <c r="BN702" s="117">
        <v>4454</v>
      </c>
      <c r="BP702" s="152"/>
      <c r="BR702" s="117">
        <v>4454</v>
      </c>
      <c r="BS702" s="26">
        <v>1062</v>
      </c>
      <c r="BU702" s="26">
        <v>4454</v>
      </c>
      <c r="BV702" s="244"/>
      <c r="BW702" s="576">
        <f t="shared" si="344"/>
        <v>4454</v>
      </c>
      <c r="BX702" s="577">
        <f t="shared" si="345"/>
        <v>0</v>
      </c>
      <c r="BZ702" s="166">
        <v>4454</v>
      </c>
      <c r="CA702" s="166">
        <v>4454</v>
      </c>
      <c r="CC702" s="782"/>
      <c r="CE702" s="166">
        <v>4454</v>
      </c>
      <c r="CF702" s="166"/>
      <c r="CO702" s="16"/>
    </row>
    <row r="703" spans="1:93" x14ac:dyDescent="0.3">
      <c r="A703" s="11">
        <v>512</v>
      </c>
      <c r="B703" s="3" t="s">
        <v>2</v>
      </c>
      <c r="C703" s="37">
        <v>51205</v>
      </c>
      <c r="D703" s="37">
        <v>54200</v>
      </c>
      <c r="E703" s="49" t="s">
        <v>118</v>
      </c>
      <c r="F703" s="3" t="s">
        <v>2</v>
      </c>
      <c r="G703" s="3" t="s">
        <v>429</v>
      </c>
      <c r="H703" s="26">
        <v>663</v>
      </c>
      <c r="I703" s="244">
        <v>0</v>
      </c>
      <c r="J703" s="16">
        <f t="shared" si="333"/>
        <v>663</v>
      </c>
      <c r="K703" s="122">
        <f t="shared" si="334"/>
        <v>0</v>
      </c>
      <c r="M703" s="117">
        <v>663</v>
      </c>
      <c r="N703" s="117">
        <v>663</v>
      </c>
      <c r="P703" s="259"/>
      <c r="R703" s="26">
        <v>663</v>
      </c>
      <c r="S703" s="26">
        <v>3746.42</v>
      </c>
      <c r="U703" s="26">
        <v>663</v>
      </c>
      <c r="V703" s="244"/>
      <c r="W703" s="16">
        <f t="shared" si="335"/>
        <v>663</v>
      </c>
      <c r="X703" s="122">
        <f t="shared" si="336"/>
        <v>0</v>
      </c>
      <c r="Z703" s="117">
        <v>663</v>
      </c>
      <c r="AA703" s="117">
        <v>663</v>
      </c>
      <c r="AC703" s="259"/>
      <c r="AE703" s="26">
        <v>663</v>
      </c>
      <c r="AF703" s="200">
        <v>429.94</v>
      </c>
      <c r="AH703" s="26">
        <v>663</v>
      </c>
      <c r="AI703" s="244"/>
      <c r="AJ703" s="16">
        <f t="shared" si="337"/>
        <v>663</v>
      </c>
      <c r="AK703" s="122">
        <f t="shared" si="338"/>
        <v>0</v>
      </c>
      <c r="AM703" s="117">
        <v>663</v>
      </c>
      <c r="AN703" s="117">
        <v>663</v>
      </c>
      <c r="AP703" s="259"/>
      <c r="AR703" s="26">
        <v>663</v>
      </c>
      <c r="AS703" s="26">
        <v>662.92</v>
      </c>
      <c r="AU703" s="26">
        <f t="shared" si="341"/>
        <v>663</v>
      </c>
      <c r="AV703" s="244"/>
      <c r="AW703" s="16">
        <f t="shared" si="339"/>
        <v>663</v>
      </c>
      <c r="AX703" s="122">
        <f t="shared" si="340"/>
        <v>0</v>
      </c>
      <c r="AZ703" s="117">
        <v>663</v>
      </c>
      <c r="BA703" s="117">
        <v>663</v>
      </c>
      <c r="BC703" s="259"/>
      <c r="BE703" s="26">
        <v>663</v>
      </c>
      <c r="BF703" s="26">
        <v>184.72</v>
      </c>
      <c r="BH703" s="26">
        <v>663</v>
      </c>
      <c r="BI703" s="244"/>
      <c r="BJ703" s="16">
        <f t="shared" si="342"/>
        <v>663</v>
      </c>
      <c r="BK703" s="122">
        <f t="shared" si="343"/>
        <v>0</v>
      </c>
      <c r="BM703" s="117">
        <v>663</v>
      </c>
      <c r="BN703" s="117">
        <v>663</v>
      </c>
      <c r="BP703" s="259"/>
      <c r="BR703" s="117">
        <v>663</v>
      </c>
      <c r="BS703" s="26">
        <v>106.31</v>
      </c>
      <c r="BU703" s="26">
        <v>663</v>
      </c>
      <c r="BV703" s="244"/>
      <c r="BW703" s="576">
        <f t="shared" si="344"/>
        <v>663</v>
      </c>
      <c r="BX703" s="577">
        <f t="shared" si="345"/>
        <v>0</v>
      </c>
      <c r="BZ703" s="166">
        <v>663</v>
      </c>
      <c r="CA703" s="166">
        <v>663</v>
      </c>
      <c r="CC703" s="753"/>
      <c r="CE703" s="166">
        <v>663</v>
      </c>
      <c r="CF703" s="166"/>
      <c r="CO703" s="16"/>
    </row>
    <row r="704" spans="1:93" x14ac:dyDescent="0.3">
      <c r="A704" s="11">
        <v>512</v>
      </c>
      <c r="B704" s="3" t="s">
        <v>2</v>
      </c>
      <c r="C704" s="37">
        <v>51205</v>
      </c>
      <c r="D704" s="37">
        <v>55400</v>
      </c>
      <c r="E704" s="49" t="s">
        <v>118</v>
      </c>
      <c r="F704" s="3" t="s">
        <v>2</v>
      </c>
      <c r="G704" s="3" t="s">
        <v>430</v>
      </c>
      <c r="H704" s="26">
        <v>136</v>
      </c>
      <c r="I704" s="244">
        <v>0</v>
      </c>
      <c r="J704" s="16">
        <f t="shared" si="333"/>
        <v>136</v>
      </c>
      <c r="K704" s="122">
        <f t="shared" si="334"/>
        <v>0</v>
      </c>
      <c r="M704" s="117">
        <v>136</v>
      </c>
      <c r="N704" s="117">
        <v>136</v>
      </c>
      <c r="P704" s="259"/>
      <c r="R704" s="26">
        <v>136</v>
      </c>
      <c r="S704" s="26">
        <v>0</v>
      </c>
      <c r="U704" s="26">
        <v>136</v>
      </c>
      <c r="V704" s="244"/>
      <c r="W704" s="16">
        <f t="shared" si="335"/>
        <v>136</v>
      </c>
      <c r="X704" s="122">
        <f t="shared" si="336"/>
        <v>0</v>
      </c>
      <c r="Z704" s="117">
        <v>136</v>
      </c>
      <c r="AA704" s="117">
        <v>136</v>
      </c>
      <c r="AC704" s="259"/>
      <c r="AE704" s="26">
        <v>136</v>
      </c>
      <c r="AF704" s="200">
        <v>380.98</v>
      </c>
      <c r="AH704" s="26">
        <v>136</v>
      </c>
      <c r="AI704" s="244"/>
      <c r="AJ704" s="16">
        <f t="shared" si="337"/>
        <v>136</v>
      </c>
      <c r="AK704" s="122">
        <f t="shared" si="338"/>
        <v>0</v>
      </c>
      <c r="AM704" s="117">
        <v>136</v>
      </c>
      <c r="AN704" s="117">
        <v>136</v>
      </c>
      <c r="AP704" s="259"/>
      <c r="AR704" s="26">
        <v>136</v>
      </c>
      <c r="AS704" s="26">
        <v>430.79</v>
      </c>
      <c r="AU704" s="26">
        <f t="shared" si="341"/>
        <v>136</v>
      </c>
      <c r="AV704" s="244"/>
      <c r="AW704" s="16">
        <f t="shared" si="339"/>
        <v>136</v>
      </c>
      <c r="AX704" s="122">
        <f t="shared" si="340"/>
        <v>0</v>
      </c>
      <c r="AZ704" s="117">
        <v>136</v>
      </c>
      <c r="BA704" s="117">
        <v>136</v>
      </c>
      <c r="BC704" s="259"/>
      <c r="BE704" s="26">
        <v>136</v>
      </c>
      <c r="BF704" s="26">
        <v>0</v>
      </c>
      <c r="BH704" s="26">
        <v>136</v>
      </c>
      <c r="BI704" s="244"/>
      <c r="BJ704" s="16">
        <f t="shared" si="342"/>
        <v>136</v>
      </c>
      <c r="BK704" s="122">
        <f t="shared" si="343"/>
        <v>0</v>
      </c>
      <c r="BM704" s="117">
        <v>136</v>
      </c>
      <c r="BN704" s="117">
        <v>136</v>
      </c>
      <c r="BP704" s="259"/>
      <c r="BR704" s="117">
        <v>136</v>
      </c>
      <c r="BS704" s="26">
        <v>130</v>
      </c>
      <c r="BU704" s="26">
        <v>136</v>
      </c>
      <c r="BV704" s="244"/>
      <c r="BW704" s="576">
        <f t="shared" si="344"/>
        <v>136</v>
      </c>
      <c r="BX704" s="577">
        <f t="shared" si="345"/>
        <v>0</v>
      </c>
      <c r="BZ704" s="166">
        <v>136</v>
      </c>
      <c r="CA704" s="166">
        <v>136</v>
      </c>
      <c r="CC704" s="753"/>
      <c r="CE704" s="166">
        <v>136</v>
      </c>
      <c r="CF704" s="166"/>
      <c r="CO704" s="16"/>
    </row>
    <row r="705" spans="1:93" x14ac:dyDescent="0.3">
      <c r="A705" s="11">
        <v>512</v>
      </c>
      <c r="B705" s="3" t="s">
        <v>2</v>
      </c>
      <c r="C705" s="37">
        <v>51205</v>
      </c>
      <c r="D705" s="37">
        <v>57100</v>
      </c>
      <c r="E705" s="49" t="s">
        <v>118</v>
      </c>
      <c r="F705" s="3" t="s">
        <v>2</v>
      </c>
      <c r="G705" s="3" t="s">
        <v>431</v>
      </c>
      <c r="H705" s="26">
        <v>612</v>
      </c>
      <c r="I705" s="244">
        <v>88</v>
      </c>
      <c r="J705" s="16">
        <f t="shared" si="333"/>
        <v>700</v>
      </c>
      <c r="K705" s="122">
        <f t="shared" si="334"/>
        <v>0.1437908496732026</v>
      </c>
      <c r="M705" s="117">
        <v>700</v>
      </c>
      <c r="N705" s="117">
        <v>700</v>
      </c>
      <c r="P705" s="259"/>
      <c r="R705" s="26">
        <v>700</v>
      </c>
      <c r="S705" s="26">
        <v>3546.49</v>
      </c>
      <c r="U705" s="26">
        <v>700</v>
      </c>
      <c r="V705" s="244"/>
      <c r="W705" s="16">
        <f t="shared" si="335"/>
        <v>700</v>
      </c>
      <c r="X705" s="122">
        <f t="shared" si="336"/>
        <v>0</v>
      </c>
      <c r="Z705" s="117">
        <v>700</v>
      </c>
      <c r="AA705" s="117">
        <v>700</v>
      </c>
      <c r="AC705" s="259"/>
      <c r="AE705" s="26">
        <v>700</v>
      </c>
      <c r="AF705" s="200">
        <v>1405.38</v>
      </c>
      <c r="AH705" s="26">
        <v>700</v>
      </c>
      <c r="AI705" s="244"/>
      <c r="AJ705" s="16">
        <f t="shared" si="337"/>
        <v>700</v>
      </c>
      <c r="AK705" s="122">
        <f t="shared" si="338"/>
        <v>0</v>
      </c>
      <c r="AM705" s="117">
        <v>700</v>
      </c>
      <c r="AN705" s="117">
        <v>700</v>
      </c>
      <c r="AP705" s="259"/>
      <c r="AR705" s="26">
        <v>700</v>
      </c>
      <c r="AS705" s="26">
        <v>549.32000000000005</v>
      </c>
      <c r="AU705" s="26">
        <f t="shared" si="341"/>
        <v>700</v>
      </c>
      <c r="AV705" s="244"/>
      <c r="AW705" s="16">
        <f t="shared" si="339"/>
        <v>700</v>
      </c>
      <c r="AX705" s="122">
        <f t="shared" si="340"/>
        <v>0</v>
      </c>
      <c r="AZ705" s="117">
        <v>700</v>
      </c>
      <c r="BA705" s="117">
        <v>700</v>
      </c>
      <c r="BC705" s="259"/>
      <c r="BE705" s="26">
        <v>700</v>
      </c>
      <c r="BF705" s="26">
        <v>428.73</v>
      </c>
      <c r="BH705" s="26">
        <v>700</v>
      </c>
      <c r="BI705" s="244"/>
      <c r="BJ705" s="16">
        <f t="shared" si="342"/>
        <v>700</v>
      </c>
      <c r="BK705" s="122">
        <f t="shared" si="343"/>
        <v>0</v>
      </c>
      <c r="BM705" s="117">
        <v>700</v>
      </c>
      <c r="BN705" s="117">
        <v>700</v>
      </c>
      <c r="BP705" s="259"/>
      <c r="BR705" s="117">
        <v>700</v>
      </c>
      <c r="BS705" s="26">
        <v>26.77</v>
      </c>
      <c r="BU705" s="26">
        <v>700</v>
      </c>
      <c r="BV705" s="244"/>
      <c r="BW705" s="576">
        <f t="shared" si="344"/>
        <v>700</v>
      </c>
      <c r="BX705" s="577">
        <f t="shared" si="345"/>
        <v>0</v>
      </c>
      <c r="BZ705" s="166">
        <v>700</v>
      </c>
      <c r="CA705" s="166">
        <v>700</v>
      </c>
      <c r="CC705" s="753"/>
      <c r="CE705" s="166">
        <v>700</v>
      </c>
      <c r="CF705" s="166"/>
      <c r="CO705" s="16"/>
    </row>
    <row r="706" spans="1:93" x14ac:dyDescent="0.3">
      <c r="A706" s="11">
        <v>512</v>
      </c>
      <c r="B706" s="3" t="s">
        <v>2</v>
      </c>
      <c r="C706" s="37">
        <v>51205</v>
      </c>
      <c r="D706" s="37">
        <v>57300</v>
      </c>
      <c r="E706" s="49" t="s">
        <v>118</v>
      </c>
      <c r="F706" s="3" t="s">
        <v>2</v>
      </c>
      <c r="G706" s="3" t="s">
        <v>432</v>
      </c>
      <c r="H706" s="26">
        <v>424</v>
      </c>
      <c r="I706" s="244"/>
      <c r="J706" s="16">
        <f t="shared" si="333"/>
        <v>424</v>
      </c>
      <c r="K706" s="122">
        <f t="shared" si="334"/>
        <v>0</v>
      </c>
      <c r="M706" s="117">
        <v>424</v>
      </c>
      <c r="N706" s="117">
        <v>424</v>
      </c>
      <c r="P706" s="259"/>
      <c r="R706" s="26">
        <v>424</v>
      </c>
      <c r="S706" s="26">
        <v>530</v>
      </c>
      <c r="U706" s="26">
        <v>424</v>
      </c>
      <c r="V706" s="244"/>
      <c r="W706" s="16">
        <f t="shared" si="335"/>
        <v>424</v>
      </c>
      <c r="X706" s="122">
        <f t="shared" si="336"/>
        <v>0</v>
      </c>
      <c r="Z706" s="117">
        <v>424</v>
      </c>
      <c r="AA706" s="117">
        <v>424</v>
      </c>
      <c r="AC706" s="259"/>
      <c r="AE706" s="26">
        <v>424</v>
      </c>
      <c r="AF706" s="200">
        <v>316</v>
      </c>
      <c r="AH706" s="26">
        <v>424</v>
      </c>
      <c r="AI706" s="244"/>
      <c r="AJ706" s="16">
        <f t="shared" si="337"/>
        <v>424</v>
      </c>
      <c r="AK706" s="122">
        <f t="shared" si="338"/>
        <v>0</v>
      </c>
      <c r="AM706" s="117">
        <v>424</v>
      </c>
      <c r="AN706" s="117">
        <v>424</v>
      </c>
      <c r="AP706" s="259"/>
      <c r="AR706" s="26">
        <v>424</v>
      </c>
      <c r="AS706" s="26">
        <v>626.08000000000004</v>
      </c>
      <c r="AU706" s="26">
        <f t="shared" si="341"/>
        <v>424</v>
      </c>
      <c r="AV706" s="244"/>
      <c r="AW706" s="16">
        <f t="shared" si="339"/>
        <v>424</v>
      </c>
      <c r="AX706" s="122">
        <f t="shared" si="340"/>
        <v>0</v>
      </c>
      <c r="AZ706" s="117">
        <v>424</v>
      </c>
      <c r="BA706" s="117">
        <v>424</v>
      </c>
      <c r="BC706" s="259"/>
      <c r="BE706" s="26">
        <v>424</v>
      </c>
      <c r="BF706" s="26">
        <v>270</v>
      </c>
      <c r="BH706" s="26">
        <v>424</v>
      </c>
      <c r="BI706" s="244"/>
      <c r="BJ706" s="16">
        <f t="shared" si="342"/>
        <v>424</v>
      </c>
      <c r="BK706" s="122">
        <f t="shared" si="343"/>
        <v>0</v>
      </c>
      <c r="BM706" s="117">
        <v>424</v>
      </c>
      <c r="BN706" s="117">
        <v>424</v>
      </c>
      <c r="BP706" s="259"/>
      <c r="BR706" s="117">
        <v>424</v>
      </c>
      <c r="BS706" s="26">
        <v>150</v>
      </c>
      <c r="BU706" s="26">
        <v>424</v>
      </c>
      <c r="BV706" s="244"/>
      <c r="BW706" s="576">
        <f t="shared" si="344"/>
        <v>424</v>
      </c>
      <c r="BX706" s="577">
        <f t="shared" si="345"/>
        <v>0</v>
      </c>
      <c r="BZ706" s="166">
        <v>424</v>
      </c>
      <c r="CA706" s="166">
        <v>424</v>
      </c>
      <c r="CC706" s="753"/>
      <c r="CE706" s="166">
        <v>424</v>
      </c>
      <c r="CF706" s="166"/>
      <c r="CO706" s="16"/>
    </row>
    <row r="707" spans="1:93" x14ac:dyDescent="0.3">
      <c r="A707" s="11">
        <v>512</v>
      </c>
      <c r="B707" s="3" t="s">
        <v>2</v>
      </c>
      <c r="C707" s="37">
        <v>51205</v>
      </c>
      <c r="D707" s="37">
        <v>57800</v>
      </c>
      <c r="E707" s="49" t="s">
        <v>118</v>
      </c>
      <c r="F707" s="3" t="s">
        <v>2</v>
      </c>
      <c r="G707" s="3" t="s">
        <v>433</v>
      </c>
      <c r="H707" s="26">
        <v>106</v>
      </c>
      <c r="I707" s="244">
        <v>94</v>
      </c>
      <c r="J707" s="16">
        <f t="shared" si="333"/>
        <v>200</v>
      </c>
      <c r="K707" s="122">
        <f t="shared" si="334"/>
        <v>0.8867924528301887</v>
      </c>
      <c r="M707" s="117">
        <v>200</v>
      </c>
      <c r="N707" s="117">
        <v>200</v>
      </c>
      <c r="P707" s="259"/>
      <c r="R707" s="26">
        <v>200</v>
      </c>
      <c r="S707" s="26">
        <v>1100.3800000000001</v>
      </c>
      <c r="U707" s="26">
        <v>200</v>
      </c>
      <c r="V707" s="244"/>
      <c r="W707" s="16">
        <f t="shared" si="335"/>
        <v>200</v>
      </c>
      <c r="X707" s="122">
        <f t="shared" si="336"/>
        <v>0</v>
      </c>
      <c r="Z707" s="117">
        <v>200</v>
      </c>
      <c r="AA707" s="117">
        <v>200</v>
      </c>
      <c r="AC707" s="259"/>
      <c r="AE707" s="26">
        <v>200</v>
      </c>
      <c r="AF707" s="200">
        <v>2422.0500000000002</v>
      </c>
      <c r="AH707" s="26">
        <v>200</v>
      </c>
      <c r="AI707" s="244"/>
      <c r="AJ707" s="16">
        <f t="shared" si="337"/>
        <v>200</v>
      </c>
      <c r="AK707" s="122">
        <f t="shared" si="338"/>
        <v>0</v>
      </c>
      <c r="AM707" s="117">
        <v>200</v>
      </c>
      <c r="AN707" s="117">
        <v>200</v>
      </c>
      <c r="AP707" s="259"/>
      <c r="AR707" s="26">
        <v>200</v>
      </c>
      <c r="AS707" s="26">
        <v>4495.82</v>
      </c>
      <c r="AU707" s="26">
        <f t="shared" si="341"/>
        <v>200</v>
      </c>
      <c r="AV707" s="244"/>
      <c r="AW707" s="16">
        <f t="shared" si="339"/>
        <v>200</v>
      </c>
      <c r="AX707" s="122">
        <f t="shared" si="340"/>
        <v>0</v>
      </c>
      <c r="AZ707" s="117">
        <v>200</v>
      </c>
      <c r="BA707" s="117">
        <v>200</v>
      </c>
      <c r="BC707" s="259"/>
      <c r="BE707" s="26">
        <v>200</v>
      </c>
      <c r="BF707" s="26">
        <v>250</v>
      </c>
      <c r="BH707" s="26">
        <v>200</v>
      </c>
      <c r="BI707" s="244"/>
      <c r="BJ707" s="16">
        <f t="shared" si="342"/>
        <v>200</v>
      </c>
      <c r="BK707" s="122">
        <f t="shared" si="343"/>
        <v>0</v>
      </c>
      <c r="BM707" s="117">
        <v>200</v>
      </c>
      <c r="BN707" s="117">
        <v>200</v>
      </c>
      <c r="BP707" s="259"/>
      <c r="BR707" s="117">
        <v>200</v>
      </c>
      <c r="BS707" s="26">
        <v>60.98</v>
      </c>
      <c r="BU707" s="26">
        <v>200</v>
      </c>
      <c r="BV707" s="244"/>
      <c r="BW707" s="576">
        <f t="shared" si="344"/>
        <v>200</v>
      </c>
      <c r="BX707" s="577">
        <f t="shared" si="345"/>
        <v>0</v>
      </c>
      <c r="BZ707" s="166">
        <v>200</v>
      </c>
      <c r="CA707" s="166">
        <v>200</v>
      </c>
      <c r="CC707" s="753"/>
      <c r="CE707" s="166">
        <v>200</v>
      </c>
      <c r="CF707" s="166"/>
      <c r="CO707" s="16"/>
    </row>
    <row r="708" spans="1:93" s="19" customFormat="1" x14ac:dyDescent="0.3">
      <c r="A708" s="27"/>
      <c r="B708" s="8"/>
      <c r="C708" s="42"/>
      <c r="D708" s="42"/>
      <c r="E708" s="54"/>
      <c r="F708" s="8"/>
      <c r="G708" s="57" t="s">
        <v>194</v>
      </c>
      <c r="H708" s="28">
        <f>SUM(H695:H707)</f>
        <v>18702</v>
      </c>
      <c r="I708" s="28">
        <f>SUM(I695:I707)</f>
        <v>1506</v>
      </c>
      <c r="J708" s="28">
        <f>SUM(J695:J707)</f>
        <v>20208</v>
      </c>
      <c r="K708" s="123">
        <f>IF(H708=0," ",(J708-H708)/H708)</f>
        <v>8.0526146936156562E-2</v>
      </c>
      <c r="M708" s="28">
        <f>SUM(M695:M707)</f>
        <v>20208</v>
      </c>
      <c r="N708" s="28">
        <f>SUM(N695:N707)</f>
        <v>20208</v>
      </c>
      <c r="P708" s="139">
        <f>SUM(P695:P707)</f>
        <v>0</v>
      </c>
      <c r="R708" s="28">
        <f>SUM(R695:R707)</f>
        <v>20208</v>
      </c>
      <c r="S708" s="28">
        <f>SUM(S695:S707)</f>
        <v>19666.820000000003</v>
      </c>
      <c r="U708" s="28">
        <f>SUM(U695:U707)</f>
        <v>20208</v>
      </c>
      <c r="V708" s="28">
        <f>SUM(V695:V707)</f>
        <v>0</v>
      </c>
      <c r="W708" s="28">
        <f>SUM(W695:W707)</f>
        <v>20208</v>
      </c>
      <c r="X708" s="123">
        <f>IF(U708=0," ",(W708-U708)/U708)</f>
        <v>0</v>
      </c>
      <c r="Z708" s="28">
        <f>SUM(Z695:Z707)</f>
        <v>20208</v>
      </c>
      <c r="AA708" s="28">
        <f>SUM(AA695:AA707)</f>
        <v>20208</v>
      </c>
      <c r="AC708" s="139"/>
      <c r="AE708" s="28">
        <f>SUM(AE695:AE707)</f>
        <v>20208</v>
      </c>
      <c r="AF708" s="201">
        <f>SUM(AF695:AF707)</f>
        <v>20617.330000000002</v>
      </c>
      <c r="AH708" s="28">
        <f>SUM(AH695:AH707)</f>
        <v>20208</v>
      </c>
      <c r="AI708" s="28">
        <f>SUM(AI695:AI707)</f>
        <v>0</v>
      </c>
      <c r="AJ708" s="28">
        <f>SUM(AJ695:AJ707)</f>
        <v>20208</v>
      </c>
      <c r="AK708" s="123">
        <f>IF(AH708=0," ",(AJ708-AH708)/AH708)</f>
        <v>0</v>
      </c>
      <c r="AM708" s="28">
        <f>SUM(AM695:AM707)</f>
        <v>20208</v>
      </c>
      <c r="AN708" s="28">
        <f>SUM(AN695:AN707)</f>
        <v>20208</v>
      </c>
      <c r="AP708" s="139"/>
      <c r="AR708" s="28">
        <f>SUM(AR695:AR707)</f>
        <v>20208</v>
      </c>
      <c r="AS708" s="28">
        <f>SUM(AS695:AS707)</f>
        <v>22943.230000000003</v>
      </c>
      <c r="AU708" s="28">
        <f>SUM(AU695:AU707)</f>
        <v>20208</v>
      </c>
      <c r="AV708" s="28">
        <f>SUM(AV695:AV707)</f>
        <v>0</v>
      </c>
      <c r="AW708" s="28">
        <f>SUM(AW695:AW707)</f>
        <v>20208</v>
      </c>
      <c r="AX708" s="123">
        <f>IF(AU708=0," ",(AW708-AU708)/AU708)</f>
        <v>0</v>
      </c>
      <c r="AZ708" s="28">
        <f>SUM(AZ695:AZ707)</f>
        <v>20208</v>
      </c>
      <c r="BA708" s="28">
        <f>SUM(BA695:BA707)</f>
        <v>26586</v>
      </c>
      <c r="BC708" s="139"/>
      <c r="BE708" s="28">
        <f>SUM(BE695:BE707)</f>
        <v>26586</v>
      </c>
      <c r="BF708" s="28">
        <f>SUM(BF695:BF707)</f>
        <v>23215.06</v>
      </c>
      <c r="BG708" s="9"/>
      <c r="BH708" s="28">
        <f>SUM(BH695:BH707)</f>
        <v>26586</v>
      </c>
      <c r="BI708" s="28">
        <f>SUM(BI695:BI707)</f>
        <v>0</v>
      </c>
      <c r="BJ708" s="28">
        <f>SUM(BJ695:BJ707)</f>
        <v>26586</v>
      </c>
      <c r="BK708" s="123">
        <f>IF(BH708=0," ",(BJ708-BH708)/BH708)</f>
        <v>0</v>
      </c>
      <c r="BM708" s="28">
        <f>SUM(BM695:BM707)</f>
        <v>26586</v>
      </c>
      <c r="BN708" s="28">
        <f>SUM(BN695:BN707)</f>
        <v>36076</v>
      </c>
      <c r="BP708" s="139"/>
      <c r="BR708" s="28">
        <f>SUM(BR695:BR707)</f>
        <v>36076</v>
      </c>
      <c r="BS708" s="28">
        <f>SUM(BS695:BS707)</f>
        <v>10080.299999999997</v>
      </c>
      <c r="BT708" s="9"/>
      <c r="BU708" s="28">
        <f>SUM(BU695:BU707)</f>
        <v>36076</v>
      </c>
      <c r="BV708" s="28">
        <f>SUM(BV695:BV707)</f>
        <v>500</v>
      </c>
      <c r="BW708" s="28">
        <f>SUM(BW695:BW707)</f>
        <v>36576</v>
      </c>
      <c r="BX708" s="579">
        <f>IF(BU708=0," ",(BW708-BU708)/BU708)</f>
        <v>1.3859629670695199E-2</v>
      </c>
      <c r="BY708" s="580"/>
      <c r="BZ708" s="28">
        <f>SUM(BZ695:BZ707)</f>
        <v>36576</v>
      </c>
      <c r="CA708" s="28">
        <f>SUM(CA695:CA707)</f>
        <v>36576</v>
      </c>
      <c r="CB708" s="580"/>
      <c r="CC708" s="769"/>
      <c r="CD708" s="580"/>
      <c r="CE708" s="28">
        <f>SUM(CE695:CE707)</f>
        <v>36576</v>
      </c>
      <c r="CF708" s="28">
        <f>SUM(CF695:CF707)</f>
        <v>0</v>
      </c>
      <c r="CG708" s="9"/>
      <c r="CH708" s="815"/>
      <c r="CI708" s="815"/>
      <c r="CJ708" s="887"/>
      <c r="CO708" s="16"/>
    </row>
    <row r="709" spans="1:93" ht="9.9" customHeight="1" x14ac:dyDescent="0.3">
      <c r="AS709" s="16"/>
      <c r="CO709" s="16"/>
    </row>
    <row r="710" spans="1:93" s="1" customFormat="1" x14ac:dyDescent="0.3">
      <c r="A710" s="20"/>
      <c r="B710" s="5"/>
      <c r="C710" s="39"/>
      <c r="D710" s="39"/>
      <c r="E710" s="51"/>
      <c r="F710" s="5"/>
      <c r="G710" s="21" t="s">
        <v>195</v>
      </c>
      <c r="H710" s="22">
        <f>H693+H708</f>
        <v>113827</v>
      </c>
      <c r="I710" s="22">
        <f>I693+I708</f>
        <v>2105</v>
      </c>
      <c r="J710" s="22">
        <f>J693+J708</f>
        <v>115932</v>
      </c>
      <c r="K710" s="124">
        <f>IF(H710=0," ",(J710-H710)/H710)</f>
        <v>1.8492976183155138E-2</v>
      </c>
      <c r="M710" s="22">
        <f>M693+M708</f>
        <v>115932</v>
      </c>
      <c r="N710" s="22">
        <f>N693+N708</f>
        <v>115932</v>
      </c>
      <c r="P710" s="136">
        <f>P693+P708</f>
        <v>0</v>
      </c>
      <c r="R710" s="22">
        <f>R693+R708</f>
        <v>115932</v>
      </c>
      <c r="S710" s="22">
        <f>S693+S708</f>
        <v>112957.79000000001</v>
      </c>
      <c r="U710" s="22">
        <f>U693+U708</f>
        <v>115932</v>
      </c>
      <c r="V710" s="22">
        <f>V693+V708</f>
        <v>3422</v>
      </c>
      <c r="W710" s="22">
        <f>W693+W708</f>
        <v>119354</v>
      </c>
      <c r="X710" s="124">
        <f>IF(U710=0," ",(W710-U710)/U710)</f>
        <v>2.9517303246730842E-2</v>
      </c>
      <c r="Z710" s="22">
        <f>Z693+Z708</f>
        <v>119354</v>
      </c>
      <c r="AA710" s="22">
        <f>AA693+AA708</f>
        <v>119354</v>
      </c>
      <c r="AC710" s="136"/>
      <c r="AE710" s="22">
        <f>AE693+AE708</f>
        <v>119354</v>
      </c>
      <c r="AF710" s="199">
        <f>AF693+AF708</f>
        <v>105476.88</v>
      </c>
      <c r="AH710" s="22">
        <v>119354</v>
      </c>
      <c r="AI710" s="22">
        <f>AI693+AI708</f>
        <v>4025</v>
      </c>
      <c r="AJ710" s="22">
        <f>AJ693+AJ708</f>
        <v>123379</v>
      </c>
      <c r="AK710" s="124">
        <f>IF(AH710=0," ",(AJ710-AH710)/AH710)</f>
        <v>3.372320994688071E-2</v>
      </c>
      <c r="AM710" s="22">
        <f>AM693+AM708</f>
        <v>123379</v>
      </c>
      <c r="AN710" s="22">
        <f>AN693+AN708</f>
        <v>123379</v>
      </c>
      <c r="AP710" s="136"/>
      <c r="AR710" s="22">
        <f>AR693+AR708</f>
        <v>123379</v>
      </c>
      <c r="AS710" s="22">
        <f>AS693+AS708</f>
        <v>109414.29000000001</v>
      </c>
      <c r="AU710" s="22">
        <f>AU693+AU708</f>
        <v>123379</v>
      </c>
      <c r="AV710" s="22">
        <f>AV693+AV708</f>
        <v>-8502</v>
      </c>
      <c r="AW710" s="22">
        <f>AW693+AW708</f>
        <v>114877</v>
      </c>
      <c r="AX710" s="124">
        <f>IF(AU710=0," ",(AW710-AU710)/AU710)</f>
        <v>-6.8909619951531456E-2</v>
      </c>
      <c r="AZ710" s="22">
        <f>AZ693+AZ708</f>
        <v>114507</v>
      </c>
      <c r="BA710" s="22">
        <f>BA693+BA708</f>
        <v>119400</v>
      </c>
      <c r="BC710" s="136"/>
      <c r="BE710" s="22">
        <f>BE693+BE708</f>
        <v>119400</v>
      </c>
      <c r="BF710" s="22">
        <f>BF693+BF708</f>
        <v>116273.65999999999</v>
      </c>
      <c r="BH710" s="22">
        <f>BH693+BH708</f>
        <v>119400</v>
      </c>
      <c r="BI710" s="22">
        <f>BI693+BI708</f>
        <v>1862</v>
      </c>
      <c r="BJ710" s="22">
        <f>BJ693+BJ708</f>
        <v>121262</v>
      </c>
      <c r="BK710" s="124">
        <f>IF(BH710=0," ",(BJ710-BH710)/BH710)</f>
        <v>1.559463986599665E-2</v>
      </c>
      <c r="BM710" s="22">
        <f>BM693+BM708</f>
        <v>121262</v>
      </c>
      <c r="BN710" s="22">
        <f>BN693+BN708</f>
        <v>133729</v>
      </c>
      <c r="BP710" s="136"/>
      <c r="BR710" s="22">
        <f>BR693+BR708</f>
        <v>134729</v>
      </c>
      <c r="BS710" s="22">
        <f>BS693+BS708</f>
        <v>54045.44999999999</v>
      </c>
      <c r="BU710" s="22">
        <f>BU693+BU708</f>
        <v>134729</v>
      </c>
      <c r="BV710" s="531">
        <f>BV693+BV708</f>
        <v>2353</v>
      </c>
      <c r="BW710" s="581">
        <f>BW693+BW708</f>
        <v>137082</v>
      </c>
      <c r="BX710" s="582">
        <f>IF(BU710=0," ",(BW710-BU710)/BU710)</f>
        <v>1.7464688374440544E-2</v>
      </c>
      <c r="BY710" s="573"/>
      <c r="BZ710" s="581">
        <f>BZ693+BZ708</f>
        <v>137082</v>
      </c>
      <c r="CA710" s="581">
        <f>CA693+CA708</f>
        <v>137082</v>
      </c>
      <c r="CB710" s="573"/>
      <c r="CC710" s="764"/>
      <c r="CD710" s="573"/>
      <c r="CE710" s="581">
        <f>CE693+CE708</f>
        <v>137082</v>
      </c>
      <c r="CF710" s="581">
        <f>CF693+CF708</f>
        <v>0</v>
      </c>
      <c r="CH710" s="812"/>
      <c r="CI710" s="812"/>
      <c r="CJ710" s="887"/>
      <c r="CO710" s="16"/>
    </row>
    <row r="711" spans="1:93" ht="20.100000000000001" customHeight="1" x14ac:dyDescent="0.3">
      <c r="AS711" s="16"/>
      <c r="CO711" s="16"/>
    </row>
    <row r="712" spans="1:93" s="1" customFormat="1" ht="15.6" x14ac:dyDescent="0.3">
      <c r="A712" s="14" t="s">
        <v>199</v>
      </c>
      <c r="B712" s="2"/>
      <c r="C712" s="36"/>
      <c r="D712" s="36"/>
      <c r="E712" s="48"/>
      <c r="F712" s="2"/>
      <c r="G712" s="2"/>
      <c r="H712" s="15"/>
      <c r="I712" s="15"/>
      <c r="J712" s="15"/>
      <c r="K712" s="121"/>
      <c r="M712" s="15"/>
      <c r="N712" s="15"/>
      <c r="P712" s="133"/>
      <c r="R712" s="15"/>
      <c r="S712" s="15"/>
      <c r="U712" s="15"/>
      <c r="V712" s="15"/>
      <c r="W712" s="15"/>
      <c r="X712" s="121"/>
      <c r="Z712" s="15"/>
      <c r="AA712" s="15"/>
      <c r="AC712" s="133"/>
      <c r="AE712" s="15"/>
      <c r="AF712" s="196"/>
      <c r="AH712" s="15"/>
      <c r="AI712" s="15"/>
      <c r="AJ712" s="15"/>
      <c r="AK712" s="121"/>
      <c r="AM712" s="15"/>
      <c r="AN712" s="15"/>
      <c r="AP712" s="133"/>
      <c r="AR712" s="15"/>
      <c r="AS712" s="15"/>
      <c r="AU712" s="15"/>
      <c r="AV712" s="15"/>
      <c r="AW712" s="15"/>
      <c r="AX712" s="121"/>
      <c r="AZ712" s="15"/>
      <c r="BA712" s="15"/>
      <c r="BC712" s="133"/>
      <c r="BE712" s="15"/>
      <c r="BF712" s="15"/>
      <c r="BH712" s="15"/>
      <c r="BI712" s="15"/>
      <c r="BJ712" s="15"/>
      <c r="BK712" s="121"/>
      <c r="BM712" s="15"/>
      <c r="BN712" s="15"/>
      <c r="BP712" s="234"/>
      <c r="BR712" s="15"/>
      <c r="BS712" s="15"/>
      <c r="BU712" s="15"/>
      <c r="BV712" s="529"/>
      <c r="BW712" s="574"/>
      <c r="BX712" s="575"/>
      <c r="BY712" s="573"/>
      <c r="BZ712" s="574"/>
      <c r="CA712" s="574"/>
      <c r="CB712" s="573"/>
      <c r="CC712" s="761"/>
      <c r="CD712" s="573"/>
      <c r="CE712" s="574"/>
      <c r="CF712" s="574"/>
      <c r="CH712" s="812"/>
      <c r="CI712" s="812"/>
      <c r="CJ712" s="887"/>
      <c r="CO712" s="16"/>
    </row>
    <row r="713" spans="1:93" x14ac:dyDescent="0.3">
      <c r="A713" s="11">
        <v>541</v>
      </c>
      <c r="B713" s="3" t="s">
        <v>2</v>
      </c>
      <c r="C713" s="37">
        <v>54101</v>
      </c>
      <c r="D713" s="37">
        <v>51120</v>
      </c>
      <c r="E713" s="49" t="s">
        <v>119</v>
      </c>
      <c r="F713" s="3" t="s">
        <v>2</v>
      </c>
      <c r="G713" s="3" t="s">
        <v>206</v>
      </c>
      <c r="H713" s="26">
        <v>56098</v>
      </c>
      <c r="I713" s="245">
        <v>-2135</v>
      </c>
      <c r="J713" s="16">
        <f>H713+I713</f>
        <v>53963</v>
      </c>
      <c r="K713" s="122">
        <f>IF(H713=0," ",(J713-H713)/H713)</f>
        <v>-3.8058397803843277E-2</v>
      </c>
      <c r="M713" s="118">
        <v>53963</v>
      </c>
      <c r="N713" s="186">
        <f>53963+7709</f>
        <v>61672</v>
      </c>
      <c r="P713" s="137" t="s">
        <v>527</v>
      </c>
      <c r="R713" s="204">
        <f>53963+7709</f>
        <v>61672</v>
      </c>
      <c r="S713" s="204">
        <v>61849.9</v>
      </c>
      <c r="U713" s="204">
        <f>53963+7709</f>
        <v>61672</v>
      </c>
      <c r="V713" s="245">
        <v>2975</v>
      </c>
      <c r="W713" s="16">
        <f>U713+V713</f>
        <v>64647</v>
      </c>
      <c r="X713" s="122">
        <f>IF(U713=0," ",(W713-U713)/U713)</f>
        <v>4.8239071215462448E-2</v>
      </c>
      <c r="Z713" s="118">
        <v>64647</v>
      </c>
      <c r="AA713" s="118">
        <v>64647</v>
      </c>
      <c r="AC713" s="259" t="s">
        <v>668</v>
      </c>
      <c r="AE713" s="144">
        <v>64647</v>
      </c>
      <c r="AF713" s="271">
        <v>64646.400000000001</v>
      </c>
      <c r="AH713" s="144">
        <v>64647</v>
      </c>
      <c r="AI713" s="245">
        <v>3599</v>
      </c>
      <c r="AJ713" s="16">
        <f>AH713+AI713</f>
        <v>68246</v>
      </c>
      <c r="AK713" s="122">
        <f>IF(AH713=0," ",(AJ713-AH713)/AH713)</f>
        <v>5.5671570219809119E-2</v>
      </c>
      <c r="AM713" s="117">
        <v>68246</v>
      </c>
      <c r="AN713" s="117">
        <v>68246</v>
      </c>
      <c r="AP713" s="259" t="s">
        <v>868</v>
      </c>
      <c r="AR713" s="26">
        <v>68246</v>
      </c>
      <c r="AS713" s="26">
        <v>68245.759999999995</v>
      </c>
      <c r="AU713" s="26">
        <f>AR713</f>
        <v>68246</v>
      </c>
      <c r="AV713" s="245">
        <v>3060</v>
      </c>
      <c r="AW713" s="16">
        <f>AU713+AV713</f>
        <v>71306</v>
      </c>
      <c r="AX713" s="122">
        <f>IF(AU713=0," ",(AW713-AU713)/AU713)</f>
        <v>4.4837792691146731E-2</v>
      </c>
      <c r="AZ713" s="117">
        <v>71034</v>
      </c>
      <c r="BA713" s="117">
        <v>69907</v>
      </c>
      <c r="BC713" s="259" t="s">
        <v>971</v>
      </c>
      <c r="BE713" s="26">
        <v>69907</v>
      </c>
      <c r="BF713" s="26">
        <v>58021.32</v>
      </c>
      <c r="BH713" s="26">
        <v>69907</v>
      </c>
      <c r="BI713" s="245">
        <v>-522</v>
      </c>
      <c r="BJ713" s="16">
        <f>BH713+BI713</f>
        <v>69385</v>
      </c>
      <c r="BK713" s="122">
        <f>IF(BH713=0," ",(BJ713-BH713)/BH713)</f>
        <v>-7.4670633842104511E-3</v>
      </c>
      <c r="BM713" s="117">
        <v>69385</v>
      </c>
      <c r="BN713" s="117">
        <v>69385</v>
      </c>
      <c r="BP713" s="428" t="s">
        <v>1309</v>
      </c>
      <c r="BR713" s="117">
        <v>69385</v>
      </c>
      <c r="BS713" s="144">
        <v>30887.29</v>
      </c>
      <c r="BU713" s="26">
        <v>69385</v>
      </c>
      <c r="BV713" s="245">
        <v>1378</v>
      </c>
      <c r="BW713" s="576">
        <f>BU713+BV713</f>
        <v>70763</v>
      </c>
      <c r="BX713" s="577">
        <f>IF(BU713=0," ",(BW713-BU713)/BU713)</f>
        <v>1.9860200331483752E-2</v>
      </c>
      <c r="BZ713" s="166">
        <v>70763</v>
      </c>
      <c r="CA713" s="166">
        <v>70763</v>
      </c>
      <c r="CC713" s="765" t="s">
        <v>1281</v>
      </c>
      <c r="CE713" s="166">
        <v>70763</v>
      </c>
      <c r="CF713" s="166"/>
      <c r="CO713" s="16"/>
    </row>
    <row r="714" spans="1:93" x14ac:dyDescent="0.3">
      <c r="A714" s="12"/>
      <c r="H714" s="145">
        <f>SUM(H713)</f>
        <v>56098</v>
      </c>
      <c r="I714" s="32">
        <f>SUM(I713)</f>
        <v>-2135</v>
      </c>
      <c r="J714" s="32">
        <f>SUM(J713)</f>
        <v>53963</v>
      </c>
      <c r="K714" s="128">
        <f>IF(H714=0," ",(J714-H714)/H714)</f>
        <v>-3.8058397803843277E-2</v>
      </c>
      <c r="M714" s="32">
        <f>SUM(M713)</f>
        <v>53963</v>
      </c>
      <c r="N714" s="32">
        <f>SUM(N713)</f>
        <v>61672</v>
      </c>
      <c r="P714" s="141">
        <f>SUM(P713)</f>
        <v>0</v>
      </c>
      <c r="R714" s="145">
        <f>SUM(R713)</f>
        <v>61672</v>
      </c>
      <c r="S714" s="32">
        <f>SUM(S713)</f>
        <v>61849.9</v>
      </c>
      <c r="U714" s="32">
        <f>SUM(U713)</f>
        <v>61672</v>
      </c>
      <c r="V714" s="32">
        <f>SUM(V713)</f>
        <v>2975</v>
      </c>
      <c r="W714" s="32">
        <f>SUM(W713)</f>
        <v>64647</v>
      </c>
      <c r="X714" s="128">
        <f>IF(U714=0," ",(W714-U714)/U714)</f>
        <v>4.8239071215462448E-2</v>
      </c>
      <c r="Z714" s="32">
        <f>SUM(Z713)</f>
        <v>64647</v>
      </c>
      <c r="AA714" s="32">
        <f>SUM(AA713)</f>
        <v>64647</v>
      </c>
      <c r="AC714" s="141"/>
      <c r="AE714" s="32">
        <f>SUM(AE713)</f>
        <v>64647</v>
      </c>
      <c r="AF714" s="274">
        <f>SUM(AF713)</f>
        <v>64646.400000000001</v>
      </c>
      <c r="AH714" s="145">
        <v>64647</v>
      </c>
      <c r="AI714" s="32">
        <f>SUM(AI713)</f>
        <v>3599</v>
      </c>
      <c r="AJ714" s="32">
        <f>SUM(AJ713)</f>
        <v>68246</v>
      </c>
      <c r="AK714" s="128">
        <f>IF(AH714=0," ",(AJ714-AH714)/AH714)</f>
        <v>5.5671570219809119E-2</v>
      </c>
      <c r="AM714" s="32">
        <f>SUM(AM713)</f>
        <v>68246</v>
      </c>
      <c r="AN714" s="32">
        <f>SUM(AN713)</f>
        <v>68246</v>
      </c>
      <c r="AP714" s="141"/>
      <c r="AR714" s="145">
        <f>SUM(AR713)</f>
        <v>68246</v>
      </c>
      <c r="AS714" s="145">
        <f>SUM(AS713)</f>
        <v>68245.759999999995</v>
      </c>
      <c r="AU714" s="145">
        <f>SUM(AU713)</f>
        <v>68246</v>
      </c>
      <c r="AV714" s="32">
        <f>SUM(AV713)</f>
        <v>3060</v>
      </c>
      <c r="AW714" s="32">
        <f>SUM(AW713)</f>
        <v>71306</v>
      </c>
      <c r="AX714" s="128">
        <f>IF(AU714=0," ",(AW714-AU714)/AU714)</f>
        <v>4.4837792691146731E-2</v>
      </c>
      <c r="AZ714" s="32">
        <f>SUM(AZ713)</f>
        <v>71034</v>
      </c>
      <c r="BA714" s="32">
        <f>SUM(BA713)</f>
        <v>69907</v>
      </c>
      <c r="BC714" s="141"/>
      <c r="BE714" s="145">
        <f>SUM(BE713)</f>
        <v>69907</v>
      </c>
      <c r="BF714" s="145">
        <f>SUM(BF713)</f>
        <v>58021.32</v>
      </c>
      <c r="BH714" s="145">
        <f>SUM(BH713)</f>
        <v>69907</v>
      </c>
      <c r="BI714" s="32">
        <f>SUM(BI713)</f>
        <v>-522</v>
      </c>
      <c r="BJ714" s="32">
        <f>SUM(BJ713)</f>
        <v>69385</v>
      </c>
      <c r="BK714" s="128">
        <f>IF(BH714=0," ",(BJ714-BH714)/BH714)</f>
        <v>-7.4670633842104511E-3</v>
      </c>
      <c r="BM714" s="145">
        <f>SUM(BM713)</f>
        <v>69385</v>
      </c>
      <c r="BN714" s="145">
        <f>SUM(BN713)</f>
        <v>69385</v>
      </c>
      <c r="BP714" s="141"/>
      <c r="BR714" s="145">
        <f>SUM(BR713)</f>
        <v>69385</v>
      </c>
      <c r="BS714" s="145">
        <f>SUM(BS713)</f>
        <v>30887.29</v>
      </c>
      <c r="BU714" s="145">
        <f>SUM(BU713)</f>
        <v>69385</v>
      </c>
      <c r="BV714" s="32">
        <f>SUM(BV713)</f>
        <v>1378</v>
      </c>
      <c r="BW714" s="595">
        <f>SUM(BW713)</f>
        <v>70763</v>
      </c>
      <c r="BX714" s="596">
        <f>IF(BU714=0," ",(BW714-BU714)/BU714)</f>
        <v>1.9860200331483752E-2</v>
      </c>
      <c r="BZ714" s="597">
        <f>SUM(BZ713)</f>
        <v>70763</v>
      </c>
      <c r="CA714" s="597">
        <f>SUM(CA713)</f>
        <v>70763</v>
      </c>
      <c r="CC714" s="770"/>
      <c r="CE714" s="597">
        <f>SUM(CE713)</f>
        <v>70763</v>
      </c>
      <c r="CF714" s="597">
        <f>SUM(CF713)</f>
        <v>0</v>
      </c>
      <c r="CO714" s="16"/>
    </row>
    <row r="715" spans="1:93" x14ac:dyDescent="0.3">
      <c r="H715" s="26"/>
      <c r="R715" s="26"/>
      <c r="AC715" s="135">
        <f>16431+5097</f>
        <v>21528</v>
      </c>
      <c r="AF715" s="200"/>
      <c r="AH715" s="26"/>
      <c r="AR715" s="26"/>
      <c r="AS715" s="26"/>
      <c r="AU715" s="26"/>
      <c r="BE715" s="26"/>
      <c r="BF715" s="26"/>
      <c r="BH715" s="26"/>
      <c r="BM715" s="26"/>
      <c r="BN715" s="26"/>
      <c r="BR715" s="26"/>
      <c r="BS715" s="26"/>
      <c r="BU715" s="26"/>
      <c r="BZ715" s="589"/>
      <c r="CA715" s="589"/>
      <c r="CE715" s="589"/>
      <c r="CF715" s="589"/>
      <c r="CO715" s="16"/>
    </row>
    <row r="716" spans="1:93" x14ac:dyDescent="0.3">
      <c r="A716" s="11">
        <v>541</v>
      </c>
      <c r="B716" s="3" t="s">
        <v>2</v>
      </c>
      <c r="C716" s="37">
        <v>54102</v>
      </c>
      <c r="D716" s="37">
        <v>51130</v>
      </c>
      <c r="E716" s="49" t="s">
        <v>11</v>
      </c>
      <c r="F716" s="3" t="s">
        <v>2</v>
      </c>
      <c r="G716" s="3" t="s">
        <v>609</v>
      </c>
      <c r="H716" s="26">
        <v>34132</v>
      </c>
      <c r="I716" s="244">
        <v>1655</v>
      </c>
      <c r="J716" s="31">
        <f>H716+I716</f>
        <v>35787</v>
      </c>
      <c r="K716" s="122">
        <f>IF(H716=0," ",(J716-H716)/H716)</f>
        <v>4.8488222196179535E-2</v>
      </c>
      <c r="L716" s="7"/>
      <c r="M716" s="147">
        <v>35787</v>
      </c>
      <c r="N716" s="187">
        <f>35787+850</f>
        <v>36637</v>
      </c>
      <c r="O716" s="7"/>
      <c r="P716" s="259" t="s">
        <v>559</v>
      </c>
      <c r="Q716" s="7"/>
      <c r="R716" s="79">
        <f>35787+850</f>
        <v>36637</v>
      </c>
      <c r="S716" s="79">
        <v>36582.01</v>
      </c>
      <c r="U716" s="79">
        <f>35787+850</f>
        <v>36637</v>
      </c>
      <c r="V716" s="244">
        <v>1693</v>
      </c>
      <c r="W716" s="31">
        <f>U716+V716</f>
        <v>38330</v>
      </c>
      <c r="X716" s="122">
        <f>IF(U716=0," ",(W716-U716)/U716)</f>
        <v>4.6210115457051615E-2</v>
      </c>
      <c r="Y716" s="7"/>
      <c r="Z716" s="147">
        <v>38330</v>
      </c>
      <c r="AA716" s="147">
        <v>38330</v>
      </c>
      <c r="AB716" s="7"/>
      <c r="AC716" s="259" t="s">
        <v>650</v>
      </c>
      <c r="AD716" s="7"/>
      <c r="AE716" s="146">
        <v>38330</v>
      </c>
      <c r="AF716" s="272">
        <v>38329.21</v>
      </c>
      <c r="AG716" s="7"/>
      <c r="AH716" s="146">
        <v>38330</v>
      </c>
      <c r="AI716" s="244">
        <v>2232</v>
      </c>
      <c r="AJ716" s="31">
        <f>AH716+AI716</f>
        <v>40562</v>
      </c>
      <c r="AK716" s="122">
        <f>IF(AH716=0," ",(AJ716-AH716)/AH716)</f>
        <v>5.8231150534829114E-2</v>
      </c>
      <c r="AL716" s="7"/>
      <c r="AM716" s="147">
        <v>40562</v>
      </c>
      <c r="AN716" s="147">
        <v>40562</v>
      </c>
      <c r="AO716" s="7"/>
      <c r="AP716" s="259" t="s">
        <v>869</v>
      </c>
      <c r="AQ716" s="7"/>
      <c r="AR716" s="146">
        <v>40562</v>
      </c>
      <c r="AS716" s="26">
        <v>40587.75</v>
      </c>
      <c r="AT716" s="7"/>
      <c r="AU716" s="26">
        <f>AR716</f>
        <v>40562</v>
      </c>
      <c r="AV716" s="244">
        <v>1674</v>
      </c>
      <c r="AW716" s="31">
        <f>AU716+AV716</f>
        <v>42236</v>
      </c>
      <c r="AX716" s="122">
        <f>IF(AU716=0," ",(AW716-AU716)/AU716)</f>
        <v>4.1270154331640455E-2</v>
      </c>
      <c r="AY716" s="7"/>
      <c r="AZ716" s="117">
        <v>42063</v>
      </c>
      <c r="BA716" s="117">
        <v>41406</v>
      </c>
      <c r="BB716" s="7"/>
      <c r="BC716" s="259" t="s">
        <v>962</v>
      </c>
      <c r="BD716" s="7"/>
      <c r="BE716" s="26">
        <v>41406</v>
      </c>
      <c r="BF716" s="26">
        <v>41444.699999999997</v>
      </c>
      <c r="BG716" s="6"/>
      <c r="BH716" s="26">
        <v>41406</v>
      </c>
      <c r="BI716" s="244">
        <v>830</v>
      </c>
      <c r="BJ716" s="31">
        <f>BH716+BI716</f>
        <v>42236</v>
      </c>
      <c r="BK716" s="122">
        <f>IF(BH716=0," ",(BJ716-BH716)/BH716)</f>
        <v>2.0045404047722551E-2</v>
      </c>
      <c r="BL716" s="7"/>
      <c r="BM716" s="147">
        <v>42236</v>
      </c>
      <c r="BN716" s="147">
        <v>42236</v>
      </c>
      <c r="BO716" s="7"/>
      <c r="BP716" s="428" t="s">
        <v>1310</v>
      </c>
      <c r="BQ716" s="7"/>
      <c r="BR716" s="147">
        <v>42236</v>
      </c>
      <c r="BS716" s="146">
        <v>18811.580000000002</v>
      </c>
      <c r="BT716" s="6"/>
      <c r="BU716" s="146">
        <v>42236</v>
      </c>
      <c r="BV716" s="244">
        <v>680</v>
      </c>
      <c r="BW716" s="583">
        <f>BU716+BV716</f>
        <v>42916</v>
      </c>
      <c r="BX716" s="577">
        <f>IF(BU716=0," ",(BW716-BU716)/BU716)</f>
        <v>1.6100009470593805E-2</v>
      </c>
      <c r="BY716" s="590"/>
      <c r="BZ716" s="585">
        <v>42916</v>
      </c>
      <c r="CA716" s="585">
        <v>42916</v>
      </c>
      <c r="CB716" s="590"/>
      <c r="CC716" s="765" t="s">
        <v>1515</v>
      </c>
      <c r="CD716" s="590"/>
      <c r="CE716" s="585">
        <v>42916</v>
      </c>
      <c r="CF716" s="585"/>
      <c r="CG716" s="6"/>
      <c r="CO716" s="16"/>
    </row>
    <row r="717" spans="1:93" ht="21.6" x14ac:dyDescent="0.3">
      <c r="A717" s="11">
        <v>541</v>
      </c>
      <c r="B717" s="3" t="s">
        <v>2</v>
      </c>
      <c r="C717" s="37">
        <v>54102</v>
      </c>
      <c r="D717" s="37">
        <v>51140</v>
      </c>
      <c r="E717" s="49" t="s">
        <v>11</v>
      </c>
      <c r="F717" s="3" t="s">
        <v>2</v>
      </c>
      <c r="G717" s="3" t="s">
        <v>610</v>
      </c>
      <c r="H717" s="26">
        <v>13883</v>
      </c>
      <c r="I717" s="244">
        <v>609</v>
      </c>
      <c r="J717" s="16">
        <f>H717+I717</f>
        <v>14492</v>
      </c>
      <c r="K717" s="122">
        <f>IF(H717=0," ",(J717-H717)/H717)</f>
        <v>4.3866599438161784E-2</v>
      </c>
      <c r="M717" s="117">
        <v>14492</v>
      </c>
      <c r="N717" s="117">
        <v>14492</v>
      </c>
      <c r="P717" s="259" t="s">
        <v>601</v>
      </c>
      <c r="R717" s="26">
        <v>14492</v>
      </c>
      <c r="S717" s="26">
        <v>9470.18</v>
      </c>
      <c r="U717" s="26">
        <v>14492</v>
      </c>
      <c r="V717" s="244"/>
      <c r="W717" s="16">
        <f>U717+V717</f>
        <v>14492</v>
      </c>
      <c r="X717" s="122">
        <f>IF(U717=0," ",(W717-U717)/U717)</f>
        <v>0</v>
      </c>
      <c r="Z717" s="117">
        <v>14492</v>
      </c>
      <c r="AA717" s="117">
        <v>14492</v>
      </c>
      <c r="AC717" s="212" t="s">
        <v>669</v>
      </c>
      <c r="AE717" s="26">
        <v>14492</v>
      </c>
      <c r="AF717" s="200">
        <v>14492</v>
      </c>
      <c r="AH717" s="26">
        <v>14492</v>
      </c>
      <c r="AI717" s="244">
        <v>1208</v>
      </c>
      <c r="AJ717" s="16">
        <f>AH717+AI717</f>
        <v>15700</v>
      </c>
      <c r="AK717" s="122">
        <f>IF(AH717=0," ",(AJ717-AH717)/AH717)</f>
        <v>8.3356334529395532E-2</v>
      </c>
      <c r="AM717" s="117">
        <f>15700+4240</f>
        <v>19940</v>
      </c>
      <c r="AN717" s="117">
        <f>15700+4240</f>
        <v>19940</v>
      </c>
      <c r="AP717" s="266" t="s">
        <v>870</v>
      </c>
      <c r="AR717" s="26">
        <f>15700+4240</f>
        <v>19940</v>
      </c>
      <c r="AS717" s="26">
        <v>10404.51</v>
      </c>
      <c r="AU717" s="26">
        <f>AR717</f>
        <v>19940</v>
      </c>
      <c r="AV717" s="244">
        <v>3973</v>
      </c>
      <c r="AW717" s="16">
        <f>AU717+AV717</f>
        <v>23913</v>
      </c>
      <c r="AX717" s="122">
        <f>IF(AU717=0," ",(AW717-AU717)/AU717)</f>
        <v>0.19924774322968908</v>
      </c>
      <c r="AZ717" s="117">
        <v>20923</v>
      </c>
      <c r="BA717" s="117">
        <v>19701</v>
      </c>
      <c r="BC717" s="282" t="s">
        <v>1077</v>
      </c>
      <c r="BE717" s="26">
        <v>19701</v>
      </c>
      <c r="BF717" s="26">
        <v>1427.46</v>
      </c>
      <c r="BH717" s="26">
        <v>19701</v>
      </c>
      <c r="BI717" s="244">
        <v>395</v>
      </c>
      <c r="BJ717" s="16">
        <f>BH717+BI717</f>
        <v>20096</v>
      </c>
      <c r="BK717" s="122">
        <f>IF(BH717=0," ",(BJ717-BH717)/BH717)</f>
        <v>2.004974366783412E-2</v>
      </c>
      <c r="BM717" s="117">
        <v>20096</v>
      </c>
      <c r="BN717" s="117">
        <v>20096</v>
      </c>
      <c r="BP717" s="428" t="s">
        <v>1311</v>
      </c>
      <c r="BR717" s="117">
        <v>20096</v>
      </c>
      <c r="BS717" s="26">
        <v>6486.44</v>
      </c>
      <c r="BU717" s="26">
        <v>20096</v>
      </c>
      <c r="BV717" s="244">
        <v>402</v>
      </c>
      <c r="BW717" s="576">
        <f>BU717+BV717</f>
        <v>20498</v>
      </c>
      <c r="BX717" s="577">
        <f>IF(BU717=0," ",(BW717-BU717)/BU717)</f>
        <v>2.0003980891719744E-2</v>
      </c>
      <c r="BZ717" s="166">
        <v>20498</v>
      </c>
      <c r="CA717" s="166">
        <v>20498</v>
      </c>
      <c r="CC717" s="765" t="s">
        <v>1282</v>
      </c>
      <c r="CE717" s="166">
        <v>20498</v>
      </c>
      <c r="CF717" s="166"/>
      <c r="CO717" s="16"/>
    </row>
    <row r="718" spans="1:93" x14ac:dyDescent="0.3">
      <c r="A718" s="11">
        <v>541</v>
      </c>
      <c r="B718" s="3" t="s">
        <v>2</v>
      </c>
      <c r="C718" s="37">
        <v>54102</v>
      </c>
      <c r="D718" s="37">
        <v>51490</v>
      </c>
      <c r="E718" s="49" t="s">
        <v>11</v>
      </c>
      <c r="F718" s="3" t="s">
        <v>2</v>
      </c>
      <c r="G718" s="3" t="s">
        <v>528</v>
      </c>
      <c r="H718" s="26">
        <v>0</v>
      </c>
      <c r="I718" s="245">
        <v>562.5</v>
      </c>
      <c r="J718" s="16">
        <f>H718+I718</f>
        <v>562.5</v>
      </c>
      <c r="K718" s="122" t="str">
        <f>IF(H718=0," ",(J718-H718)/H718)</f>
        <v xml:space="preserve"> </v>
      </c>
      <c r="M718" s="118">
        <v>563</v>
      </c>
      <c r="N718" s="118">
        <v>563</v>
      </c>
      <c r="P718" s="137" t="s">
        <v>558</v>
      </c>
      <c r="R718" s="144">
        <v>563</v>
      </c>
      <c r="S718" s="144">
        <v>563</v>
      </c>
      <c r="U718" s="144">
        <v>563</v>
      </c>
      <c r="V718" s="245"/>
      <c r="W718" s="16">
        <f>U718+V718</f>
        <v>563</v>
      </c>
      <c r="X718" s="122">
        <f>IF(U718=0," ",(W718-U718)/U718)</f>
        <v>0</v>
      </c>
      <c r="Z718" s="118">
        <v>563</v>
      </c>
      <c r="AA718" s="118">
        <v>563</v>
      </c>
      <c r="AC718" s="137"/>
      <c r="AE718" s="144">
        <v>563</v>
      </c>
      <c r="AF718" s="271">
        <v>563</v>
      </c>
      <c r="AH718" s="144">
        <v>563</v>
      </c>
      <c r="AI718" s="245"/>
      <c r="AJ718" s="16">
        <f>AH718+AI718</f>
        <v>563</v>
      </c>
      <c r="AK718" s="122">
        <f>IF(AH718=0," ",(AJ718-AH718)/AH718)</f>
        <v>0</v>
      </c>
      <c r="AM718" s="117">
        <v>563</v>
      </c>
      <c r="AN718" s="117">
        <v>563</v>
      </c>
      <c r="AP718" s="137"/>
      <c r="AR718" s="26">
        <v>563</v>
      </c>
      <c r="AS718" s="26">
        <v>562.5</v>
      </c>
      <c r="AU718" s="26">
        <f>AR718</f>
        <v>563</v>
      </c>
      <c r="AV718" s="245"/>
      <c r="AW718" s="16">
        <f>AU718+AV718</f>
        <v>563</v>
      </c>
      <c r="AX718" s="122">
        <f>IF(AU718=0," ",(AW718-AU718)/AU718)</f>
        <v>0</v>
      </c>
      <c r="AZ718" s="117">
        <v>563</v>
      </c>
      <c r="BA718" s="117">
        <v>563</v>
      </c>
      <c r="BC718" s="137"/>
      <c r="BE718" s="26">
        <v>563</v>
      </c>
      <c r="BF718" s="26">
        <v>562.5</v>
      </c>
      <c r="BH718" s="26">
        <v>563</v>
      </c>
      <c r="BI718" s="245"/>
      <c r="BJ718" s="16">
        <f>BH718+BI718</f>
        <v>563</v>
      </c>
      <c r="BK718" s="122">
        <f>IF(BH718=0," ",(BJ718-BH718)/BH718)</f>
        <v>0</v>
      </c>
      <c r="BM718" s="117">
        <v>563</v>
      </c>
      <c r="BN718" s="117">
        <v>563</v>
      </c>
      <c r="BP718" s="137"/>
      <c r="BR718" s="117">
        <v>563</v>
      </c>
      <c r="BS718" s="144">
        <v>562.5</v>
      </c>
      <c r="BU718" s="26">
        <v>563</v>
      </c>
      <c r="BV718" s="245">
        <f>662-563</f>
        <v>99</v>
      </c>
      <c r="BW718" s="576">
        <f>BU718+BV718</f>
        <v>662</v>
      </c>
      <c r="BX718" s="577">
        <f>IF(BU718=0," ",(BW718-BU718)/BU718)</f>
        <v>0.17584369449378331</v>
      </c>
      <c r="BZ718" s="166">
        <v>662</v>
      </c>
      <c r="CA718" s="166">
        <v>662</v>
      </c>
      <c r="CC718" s="767" t="s">
        <v>1386</v>
      </c>
      <c r="CE718" s="166">
        <v>662</v>
      </c>
      <c r="CF718" s="166"/>
      <c r="CO718" s="16"/>
    </row>
    <row r="719" spans="1:93" x14ac:dyDescent="0.3">
      <c r="A719" s="12"/>
      <c r="H719" s="32">
        <f>SUM(H716:H718)</f>
        <v>48015</v>
      </c>
      <c r="I719" s="32">
        <f>SUM(I716:I718)</f>
        <v>2826.5</v>
      </c>
      <c r="J719" s="32">
        <f>SUM(J716:J718)</f>
        <v>50841.5</v>
      </c>
      <c r="K719" s="128">
        <f>IF(H719=0," ",(J719-H719)/H719)</f>
        <v>5.8867020722690823E-2</v>
      </c>
      <c r="M719" s="32">
        <f>SUM(M716:M718)</f>
        <v>50842</v>
      </c>
      <c r="N719" s="32">
        <f>SUM(N716:N718)</f>
        <v>51692</v>
      </c>
      <c r="P719" s="141">
        <f>SUM(P717:P718)</f>
        <v>0</v>
      </c>
      <c r="R719" s="32">
        <f>SUM(R716:R718)</f>
        <v>51692</v>
      </c>
      <c r="S719" s="32">
        <f>SUM(S716:S718)</f>
        <v>46615.19</v>
      </c>
      <c r="U719" s="32">
        <f>SUM(U716:U718)</f>
        <v>51692</v>
      </c>
      <c r="V719" s="32">
        <f>SUM(V716:V718)</f>
        <v>1693</v>
      </c>
      <c r="W719" s="32">
        <f>SUM(W716:W718)</f>
        <v>53385</v>
      </c>
      <c r="X719" s="128">
        <f>IF(U719=0," ",(W719-U719)/U719)</f>
        <v>3.2751683045732415E-2</v>
      </c>
      <c r="Z719" s="32">
        <f>SUM(Z716:Z718)</f>
        <v>53385</v>
      </c>
      <c r="AA719" s="32">
        <f>SUM(AA716:AA718)</f>
        <v>53385</v>
      </c>
      <c r="AC719" s="141"/>
      <c r="AE719" s="32">
        <f>SUM(AE716:AE718)</f>
        <v>53385</v>
      </c>
      <c r="AF719" s="32">
        <f>SUM(AF716:AF718)</f>
        <v>53384.21</v>
      </c>
      <c r="AH719" s="32">
        <f>SUM(AH716:AH718)</f>
        <v>53385</v>
      </c>
      <c r="AI719" s="32">
        <f>SUM(AI716:AI718)</f>
        <v>3440</v>
      </c>
      <c r="AJ719" s="32">
        <f>SUM(AJ716:AJ718)</f>
        <v>56825</v>
      </c>
      <c r="AK719" s="128">
        <f>IF(AH719=0," ",(AJ719-AH719)/AH719)</f>
        <v>6.4437576098154911E-2</v>
      </c>
      <c r="AM719" s="32">
        <f>SUM(AM716:AM718)</f>
        <v>61065</v>
      </c>
      <c r="AN719" s="32">
        <f>SUM(AN716:AN718)</f>
        <v>61065</v>
      </c>
      <c r="AP719" s="141"/>
      <c r="AR719" s="32">
        <f>SUM(AR716:AR718)</f>
        <v>61065</v>
      </c>
      <c r="AS719" s="145">
        <f>SUM(AS716:AS718)</f>
        <v>51554.76</v>
      </c>
      <c r="AU719" s="32">
        <f>SUM(AU716:AU718)</f>
        <v>61065</v>
      </c>
      <c r="AV719" s="32">
        <f>SUM(AV716:AV718)</f>
        <v>5647</v>
      </c>
      <c r="AW719" s="32">
        <f>SUM(AW716:AW718)</f>
        <v>66712</v>
      </c>
      <c r="AX719" s="128">
        <f>IF(AU719=0," ",(AW719-AU719)/AU719)</f>
        <v>9.2475231310898229E-2</v>
      </c>
      <c r="AZ719" s="32">
        <f>SUM(AZ716:AZ718)</f>
        <v>63549</v>
      </c>
      <c r="BA719" s="32">
        <f>SUM(BA716:BA718)</f>
        <v>61670</v>
      </c>
      <c r="BC719" s="141"/>
      <c r="BE719" s="145">
        <f>SUM(BE716:BE718)</f>
        <v>61670</v>
      </c>
      <c r="BF719" s="145">
        <f>SUM(BF716:BF718)</f>
        <v>43434.659999999996</v>
      </c>
      <c r="BH719" s="145">
        <f>SUM(BH716:BH718)</f>
        <v>61670</v>
      </c>
      <c r="BI719" s="32">
        <f>SUM(BI716:BI718)</f>
        <v>1225</v>
      </c>
      <c r="BJ719" s="32">
        <f>SUM(BJ716:BJ718)</f>
        <v>62895</v>
      </c>
      <c r="BK719" s="128">
        <f>IF(BH719=0," ",(BJ719-BH719)/BH719)</f>
        <v>1.9863791146424517E-2</v>
      </c>
      <c r="BM719" s="145">
        <f>SUM(BM716:BM718)</f>
        <v>62895</v>
      </c>
      <c r="BN719" s="145">
        <f>SUM(BN716:BN718)</f>
        <v>62895</v>
      </c>
      <c r="BP719" s="141"/>
      <c r="BR719" s="145">
        <f>SUM(BR716:BR718)</f>
        <v>62895</v>
      </c>
      <c r="BS719" s="145">
        <f>SUM(BS716:BS718)</f>
        <v>25860.52</v>
      </c>
      <c r="BU719" s="145">
        <f>SUM(BU716:BU718)</f>
        <v>62895</v>
      </c>
      <c r="BV719" s="32">
        <f>SUM(BV716:BV718)</f>
        <v>1181</v>
      </c>
      <c r="BW719" s="595">
        <f>SUM(BW716:BW718)</f>
        <v>64076</v>
      </c>
      <c r="BX719" s="596">
        <f>IF(BU719=0," ",(BW719-BU719)/BU719)</f>
        <v>1.8777327291517609E-2</v>
      </c>
      <c r="BZ719" s="597">
        <f>SUM(BZ716:BZ718)</f>
        <v>64076</v>
      </c>
      <c r="CA719" s="597">
        <f>SUM(CA716:CA718)</f>
        <v>64076</v>
      </c>
      <c r="CC719" s="770"/>
      <c r="CE719" s="597">
        <f>SUM(CE716:CE718)</f>
        <v>64076</v>
      </c>
      <c r="CF719" s="597">
        <f>SUM(CF716:CF718)</f>
        <v>0</v>
      </c>
      <c r="CO719" s="16"/>
    </row>
    <row r="720" spans="1:93" x14ac:dyDescent="0.3">
      <c r="R720" s="26"/>
      <c r="AS720" s="26"/>
      <c r="BE720" s="26"/>
      <c r="BF720" s="26"/>
      <c r="BH720" s="26"/>
      <c r="BM720" s="26"/>
      <c r="BN720" s="26"/>
      <c r="BR720" s="26"/>
      <c r="BU720" s="26"/>
      <c r="BZ720" s="589"/>
      <c r="CA720" s="589"/>
      <c r="CE720" s="589"/>
      <c r="CF720" s="589"/>
      <c r="CO720" s="16"/>
    </row>
    <row r="721" spans="1:93" s="19" customFormat="1" x14ac:dyDescent="0.3">
      <c r="A721" s="27"/>
      <c r="B721" s="8"/>
      <c r="C721" s="42"/>
      <c r="D721" s="42"/>
      <c r="E721" s="54"/>
      <c r="F721" s="8"/>
      <c r="G721" s="57" t="s">
        <v>200</v>
      </c>
      <c r="H721" s="28">
        <f>H714+H719</f>
        <v>104113</v>
      </c>
      <c r="I721" s="28">
        <f>I714+I719</f>
        <v>691.5</v>
      </c>
      <c r="J721" s="28">
        <f>J714+J719</f>
        <v>104804.5</v>
      </c>
      <c r="K721" s="123">
        <f>IF(H721=0," ",(J721-H721)/H721)</f>
        <v>6.6418218666256853E-3</v>
      </c>
      <c r="M721" s="28">
        <f>M714+M719</f>
        <v>104805</v>
      </c>
      <c r="N721" s="28">
        <f>N714+N719</f>
        <v>113364</v>
      </c>
      <c r="P721" s="139">
        <f>P714+P719</f>
        <v>0</v>
      </c>
      <c r="R721" s="28">
        <f>R714+R719</f>
        <v>113364</v>
      </c>
      <c r="S721" s="28">
        <f>S714+S719</f>
        <v>108465.09</v>
      </c>
      <c r="U721" s="28">
        <f>U714+U719</f>
        <v>113364</v>
      </c>
      <c r="V721" s="28">
        <f>V714+V719</f>
        <v>4668</v>
      </c>
      <c r="W721" s="28">
        <f>W714+W719</f>
        <v>118032</v>
      </c>
      <c r="X721" s="123">
        <f>IF(U721=0," ",(W721-U721)/U721)</f>
        <v>4.1177093257118665E-2</v>
      </c>
      <c r="Z721" s="28">
        <f>Z714+Z719</f>
        <v>118032</v>
      </c>
      <c r="AA721" s="28">
        <f>AA714+AA719</f>
        <v>118032</v>
      </c>
      <c r="AC721" s="139"/>
      <c r="AE721" s="28">
        <f>AE714+AE719</f>
        <v>118032</v>
      </c>
      <c r="AF721" s="201">
        <f>AF714+AF719</f>
        <v>118030.61</v>
      </c>
      <c r="AH721" s="28">
        <v>118032</v>
      </c>
      <c r="AI721" s="28">
        <f>AI714+AI719</f>
        <v>7039</v>
      </c>
      <c r="AJ721" s="28">
        <f>AJ714+AJ719</f>
        <v>125071</v>
      </c>
      <c r="AK721" s="123">
        <f>IF(AH721=0," ",(AJ721-AH721)/AH721)</f>
        <v>5.9636369798020873E-2</v>
      </c>
      <c r="AM721" s="28">
        <f>AM714+AM719</f>
        <v>129311</v>
      </c>
      <c r="AN721" s="28">
        <f>AN714+AN719</f>
        <v>129311</v>
      </c>
      <c r="AP721" s="139"/>
      <c r="AR721" s="28">
        <f>AR714+AR719</f>
        <v>129311</v>
      </c>
      <c r="AS721" s="28">
        <f>AS714+AS719</f>
        <v>119800.51999999999</v>
      </c>
      <c r="AU721" s="28">
        <f>AU714+AU719</f>
        <v>129311</v>
      </c>
      <c r="AV721" s="28">
        <f>AV714+AV719</f>
        <v>8707</v>
      </c>
      <c r="AW721" s="28">
        <f>AW714+AW719</f>
        <v>138018</v>
      </c>
      <c r="AX721" s="123">
        <f>IF(AU721=0," ",(AW721-AU721)/AU721)</f>
        <v>6.7333792175452975E-2</v>
      </c>
      <c r="AZ721" s="28">
        <f>AZ714+AZ719</f>
        <v>134583</v>
      </c>
      <c r="BA721" s="28">
        <f>BA714+BA719</f>
        <v>131577</v>
      </c>
      <c r="BC721" s="139"/>
      <c r="BE721" s="28">
        <f>BE714+BE719</f>
        <v>131577</v>
      </c>
      <c r="BF721" s="28">
        <f>BF714+BF719</f>
        <v>101455.98</v>
      </c>
      <c r="BG721" s="9"/>
      <c r="BH721" s="28">
        <f>BH714+BH719</f>
        <v>131577</v>
      </c>
      <c r="BI721" s="28">
        <f>BI714+BI719</f>
        <v>703</v>
      </c>
      <c r="BJ721" s="28">
        <f>BJ714+BJ719</f>
        <v>132280</v>
      </c>
      <c r="BK721" s="123">
        <f>IF(BH721=0," ",(BJ721-BH721)/BH721)</f>
        <v>5.3428790746103041E-3</v>
      </c>
      <c r="BM721" s="28">
        <f>BM714+BM719</f>
        <v>132280</v>
      </c>
      <c r="BN721" s="28">
        <f>BN714+BN719</f>
        <v>132280</v>
      </c>
      <c r="BP721" s="139"/>
      <c r="BR721" s="28">
        <f>BR714+BR719</f>
        <v>132280</v>
      </c>
      <c r="BS721" s="28">
        <f>BS714+BS719</f>
        <v>56747.81</v>
      </c>
      <c r="BT721" s="9"/>
      <c r="BU721" s="28">
        <f>BU714+BU719</f>
        <v>132280</v>
      </c>
      <c r="BV721" s="532">
        <f>BV714+BV719</f>
        <v>2559</v>
      </c>
      <c r="BW721" s="591">
        <f>BW714+BW719</f>
        <v>134839</v>
      </c>
      <c r="BX721" s="579">
        <f>IF(BU721=0," ",(BW721-BU721)/BU721)</f>
        <v>1.9345328091926219E-2</v>
      </c>
      <c r="BY721" s="580"/>
      <c r="BZ721" s="591">
        <f>BZ714+BZ719</f>
        <v>134839</v>
      </c>
      <c r="CA721" s="591">
        <f>CA714+CA719</f>
        <v>134839</v>
      </c>
      <c r="CB721" s="580"/>
      <c r="CC721" s="769"/>
      <c r="CD721" s="580"/>
      <c r="CE721" s="591">
        <f>CE714+CE719</f>
        <v>134839</v>
      </c>
      <c r="CF721" s="591">
        <f>CF714+CF719</f>
        <v>0</v>
      </c>
      <c r="CG721" s="9"/>
      <c r="CH721" s="815"/>
      <c r="CI721" s="815"/>
      <c r="CJ721" s="887"/>
      <c r="CO721" s="16"/>
    </row>
    <row r="722" spans="1:93" x14ac:dyDescent="0.3">
      <c r="H722" s="26"/>
      <c r="AS722" s="16"/>
      <c r="CO722" s="16"/>
    </row>
    <row r="723" spans="1:93" x14ac:dyDescent="0.3">
      <c r="A723" s="12">
        <v>541</v>
      </c>
      <c r="B723" s="1"/>
      <c r="C723" s="35">
        <v>54105</v>
      </c>
      <c r="D723" s="35">
        <v>52430</v>
      </c>
      <c r="E723" s="47" t="s">
        <v>118</v>
      </c>
      <c r="F723" s="1"/>
      <c r="G723" s="1" t="s">
        <v>1162</v>
      </c>
      <c r="H723" s="26"/>
      <c r="I723" s="610"/>
      <c r="M723" s="117"/>
      <c r="N723" s="117"/>
      <c r="P723" s="259"/>
      <c r="S723" s="26">
        <v>96.95</v>
      </c>
      <c r="V723" s="244"/>
      <c r="Z723" s="117"/>
      <c r="AA723" s="117"/>
      <c r="AC723" s="259"/>
      <c r="AE723" s="16">
        <v>0</v>
      </c>
      <c r="AF723" s="197">
        <v>0</v>
      </c>
      <c r="AH723" s="16">
        <v>0</v>
      </c>
      <c r="AI723" s="244"/>
      <c r="AJ723" s="16">
        <f t="shared" ref="AJ723:AJ729" si="346">AH723+AI723</f>
        <v>0</v>
      </c>
      <c r="AK723" s="122" t="str">
        <f t="shared" ref="AK723:AK731" si="347">IF(AH723=0," ",(AJ723-AH723)/AH723)</f>
        <v xml:space="preserve"> </v>
      </c>
      <c r="AM723" s="117">
        <v>100</v>
      </c>
      <c r="AN723" s="117">
        <v>100</v>
      </c>
      <c r="AO723" s="178"/>
      <c r="AP723" s="266" t="s">
        <v>822</v>
      </c>
      <c r="AR723" s="26">
        <v>100</v>
      </c>
      <c r="AS723" s="26">
        <v>0</v>
      </c>
      <c r="AU723" s="26">
        <f>AR723</f>
        <v>100</v>
      </c>
      <c r="AV723" s="244"/>
      <c r="AW723" s="16">
        <f t="shared" ref="AW723:AW731" si="348">AU723+AV723</f>
        <v>100</v>
      </c>
      <c r="AX723" s="122">
        <f t="shared" ref="AX723:AX731" si="349">IF(AU723=0," ",(AW723-AU723)/AU723)</f>
        <v>0</v>
      </c>
      <c r="AZ723" s="117">
        <v>100</v>
      </c>
      <c r="BA723" s="117">
        <v>100</v>
      </c>
      <c r="BB723" s="178"/>
      <c r="BC723" s="266"/>
      <c r="BE723" s="26">
        <v>100</v>
      </c>
      <c r="BF723" s="26">
        <v>0</v>
      </c>
      <c r="BH723" s="26">
        <v>100</v>
      </c>
      <c r="BI723" s="244"/>
      <c r="BJ723" s="16">
        <f>BH723+BI723</f>
        <v>100</v>
      </c>
      <c r="BK723" s="122">
        <f>IF(BH723=0," ",(BJ723-BH723)/BH723)</f>
        <v>0</v>
      </c>
      <c r="BM723" s="117">
        <v>100</v>
      </c>
      <c r="BN723" s="117">
        <v>100</v>
      </c>
      <c r="BO723" s="178"/>
      <c r="BP723" s="259"/>
      <c r="BR723" s="117">
        <v>100</v>
      </c>
      <c r="BU723" s="26">
        <v>100</v>
      </c>
      <c r="BV723" s="244"/>
      <c r="BW723" s="576">
        <f>BU723+BV723</f>
        <v>100</v>
      </c>
      <c r="BX723" s="577">
        <f>IF(BU723=0," ",(BW723-BU723)/BU723)</f>
        <v>0</v>
      </c>
      <c r="BZ723" s="166">
        <v>100</v>
      </c>
      <c r="CA723" s="166">
        <v>100</v>
      </c>
      <c r="CC723" s="753"/>
      <c r="CE723" s="166">
        <v>100</v>
      </c>
      <c r="CF723" s="166"/>
      <c r="CO723" s="16"/>
    </row>
    <row r="724" spans="1:93" x14ac:dyDescent="0.3">
      <c r="A724" s="12">
        <v>541</v>
      </c>
      <c r="B724" s="1"/>
      <c r="C724" s="35">
        <v>54105</v>
      </c>
      <c r="D724" s="35">
        <v>52450</v>
      </c>
      <c r="E724" s="47" t="s">
        <v>118</v>
      </c>
      <c r="F724" s="1"/>
      <c r="G724" s="1" t="s">
        <v>938</v>
      </c>
      <c r="H724" s="26"/>
      <c r="I724" s="610"/>
      <c r="M724" s="117"/>
      <c r="N724" s="117"/>
      <c r="P724" s="259"/>
      <c r="S724" s="26">
        <v>1108.3800000000001</v>
      </c>
      <c r="V724" s="244"/>
      <c r="Z724" s="117"/>
      <c r="AA724" s="117"/>
      <c r="AC724" s="259"/>
      <c r="AE724" s="16">
        <v>0</v>
      </c>
      <c r="AF724" s="197">
        <v>507.54</v>
      </c>
      <c r="AH724" s="16">
        <v>0</v>
      </c>
      <c r="AI724" s="244"/>
      <c r="AJ724" s="16">
        <f t="shared" si="346"/>
        <v>0</v>
      </c>
      <c r="AK724" s="122" t="str">
        <f t="shared" si="347"/>
        <v xml:space="preserve"> </v>
      </c>
      <c r="AM724" s="117">
        <v>1000</v>
      </c>
      <c r="AN724" s="117">
        <v>1000</v>
      </c>
      <c r="AO724" s="178"/>
      <c r="AP724" s="266" t="s">
        <v>823</v>
      </c>
      <c r="AR724" s="26">
        <v>1000</v>
      </c>
      <c r="AS724" s="26">
        <v>1359.85</v>
      </c>
      <c r="AU724" s="26">
        <f>AR724</f>
        <v>1000</v>
      </c>
      <c r="AV724" s="244"/>
      <c r="AW724" s="16">
        <f t="shared" si="348"/>
        <v>1000</v>
      </c>
      <c r="AX724" s="122">
        <f t="shared" si="349"/>
        <v>0</v>
      </c>
      <c r="AZ724" s="117">
        <v>1000</v>
      </c>
      <c r="BA724" s="117">
        <v>1000</v>
      </c>
      <c r="BB724" s="178"/>
      <c r="BC724" s="266"/>
      <c r="BE724" s="26">
        <v>1000</v>
      </c>
      <c r="BF724" s="26">
        <v>683.34</v>
      </c>
      <c r="BH724" s="26">
        <v>1000</v>
      </c>
      <c r="BI724" s="244"/>
      <c r="BJ724" s="16">
        <f>BH724+BI724</f>
        <v>1000</v>
      </c>
      <c r="BK724" s="122">
        <f>IF(BH724=0," ",(BJ724-BH724)/BH724)</f>
        <v>0</v>
      </c>
      <c r="BM724" s="117">
        <v>1000</v>
      </c>
      <c r="BN724" s="117">
        <v>1000</v>
      </c>
      <c r="BO724" s="178"/>
      <c r="BP724" s="259"/>
      <c r="BR724" s="117">
        <v>1000</v>
      </c>
      <c r="BS724" s="16">
        <v>251.94</v>
      </c>
      <c r="BU724" s="26">
        <v>1000</v>
      </c>
      <c r="BV724" s="244"/>
      <c r="BW724" s="576">
        <f>BU724+BV724</f>
        <v>1000</v>
      </c>
      <c r="BX724" s="577">
        <f>IF(BU724=0," ",(BW724-BU724)/BU724)</f>
        <v>0</v>
      </c>
      <c r="BZ724" s="166">
        <v>1000</v>
      </c>
      <c r="CA724" s="166">
        <v>1000</v>
      </c>
      <c r="CC724" s="753"/>
      <c r="CE724" s="166">
        <v>1000</v>
      </c>
      <c r="CF724" s="166"/>
      <c r="CO724" s="16"/>
    </row>
    <row r="725" spans="1:93" x14ac:dyDescent="0.3">
      <c r="A725" s="11">
        <v>541</v>
      </c>
      <c r="B725" s="3" t="s">
        <v>2</v>
      </c>
      <c r="C725" s="37">
        <v>54105</v>
      </c>
      <c r="D725" s="37">
        <v>53040</v>
      </c>
      <c r="E725" s="49" t="s">
        <v>118</v>
      </c>
      <c r="F725" s="3" t="s">
        <v>2</v>
      </c>
      <c r="G725" s="3" t="s">
        <v>1585</v>
      </c>
      <c r="H725" s="26"/>
      <c r="I725" s="244"/>
      <c r="J725" s="16">
        <f>H725+I725</f>
        <v>0</v>
      </c>
      <c r="K725" s="122" t="str">
        <f>IF(H725=0," ",(J725-H725)/H725)</f>
        <v xml:space="preserve"> </v>
      </c>
      <c r="M725" s="117"/>
      <c r="N725" s="117"/>
      <c r="P725" s="259"/>
      <c r="R725" s="26"/>
      <c r="S725" s="26"/>
      <c r="U725" s="26"/>
      <c r="V725" s="244">
        <v>390</v>
      </c>
      <c r="W725" s="16">
        <f>U725+V725</f>
        <v>390</v>
      </c>
      <c r="X725" s="122" t="str">
        <f>IF(U725=0," ",(W725-U725)/U725)</f>
        <v xml:space="preserve"> </v>
      </c>
      <c r="Z725" s="185">
        <v>390</v>
      </c>
      <c r="AA725" s="185">
        <f>390+400</f>
        <v>790</v>
      </c>
      <c r="AC725" s="259" t="s">
        <v>753</v>
      </c>
      <c r="AE725" s="26">
        <f>390+400</f>
        <v>790</v>
      </c>
      <c r="AF725" s="200">
        <v>790</v>
      </c>
      <c r="AH725" s="26">
        <v>790</v>
      </c>
      <c r="AI725" s="244">
        <v>410</v>
      </c>
      <c r="AJ725" s="16">
        <f t="shared" si="346"/>
        <v>1200</v>
      </c>
      <c r="AK725" s="122">
        <f t="shared" si="347"/>
        <v>0.51898734177215189</v>
      </c>
      <c r="AM725" s="117">
        <v>1200</v>
      </c>
      <c r="AN725" s="117">
        <v>1200</v>
      </c>
      <c r="AO725" s="178"/>
      <c r="AP725" s="266"/>
      <c r="AR725" s="26">
        <v>1200</v>
      </c>
      <c r="AS725" s="26">
        <v>1200</v>
      </c>
      <c r="AU725" s="26">
        <f>AR725</f>
        <v>1200</v>
      </c>
      <c r="AV725" s="244"/>
      <c r="AW725" s="16">
        <f t="shared" si="348"/>
        <v>1200</v>
      </c>
      <c r="AX725" s="122">
        <f t="shared" si="349"/>
        <v>0</v>
      </c>
      <c r="AZ725" s="117">
        <v>1200</v>
      </c>
      <c r="BA725" s="117">
        <v>1200</v>
      </c>
      <c r="BB725" s="178"/>
      <c r="BC725" s="266"/>
      <c r="BE725" s="26">
        <v>1200</v>
      </c>
      <c r="BF725" s="26">
        <v>1200</v>
      </c>
      <c r="BH725" s="26">
        <v>1200</v>
      </c>
      <c r="BI725" s="244"/>
      <c r="BJ725" s="16">
        <f t="shared" ref="BJ725:BJ730" si="350">BH725+BI725</f>
        <v>1200</v>
      </c>
      <c r="BK725" s="122">
        <f t="shared" ref="BK725:BK730" si="351">IF(BH725=0," ",(BJ725-BH725)/BH725)</f>
        <v>0</v>
      </c>
      <c r="BM725" s="117">
        <v>1200</v>
      </c>
      <c r="BN725" s="117">
        <v>1200</v>
      </c>
      <c r="BO725" s="178"/>
      <c r="BP725" s="259"/>
      <c r="BR725" s="117">
        <v>1200</v>
      </c>
      <c r="BS725" s="26">
        <v>1200</v>
      </c>
      <c r="BU725" s="26">
        <v>1200</v>
      </c>
      <c r="BV725" s="244"/>
      <c r="BW725" s="576">
        <f t="shared" ref="BW725:BW730" si="352">BU725+BV725</f>
        <v>1200</v>
      </c>
      <c r="BX725" s="577">
        <f t="shared" ref="BX725:BX730" si="353">IF(BU725=0," ",(BW725-BU725)/BU725)</f>
        <v>0</v>
      </c>
      <c r="BZ725" s="166">
        <v>1200</v>
      </c>
      <c r="CA725" s="166">
        <v>1200</v>
      </c>
      <c r="CC725" s="753"/>
      <c r="CE725" s="166">
        <v>1200</v>
      </c>
      <c r="CF725" s="166"/>
      <c r="CO725" s="16"/>
    </row>
    <row r="726" spans="1:93" x14ac:dyDescent="0.3">
      <c r="A726" s="11">
        <v>541</v>
      </c>
      <c r="C726" s="37">
        <v>54105</v>
      </c>
      <c r="D726" s="37">
        <v>53400</v>
      </c>
      <c r="E726" s="49" t="s">
        <v>118</v>
      </c>
      <c r="G726" s="3" t="s">
        <v>1109</v>
      </c>
      <c r="H726" s="26"/>
      <c r="I726" s="244"/>
      <c r="M726" s="117"/>
      <c r="N726" s="117"/>
      <c r="P726" s="259"/>
      <c r="R726" s="26"/>
      <c r="S726" s="26"/>
      <c r="U726" s="26"/>
      <c r="V726" s="244"/>
      <c r="Z726" s="185"/>
      <c r="AA726" s="185"/>
      <c r="AC726" s="259"/>
      <c r="AE726" s="26"/>
      <c r="AF726" s="200"/>
      <c r="AH726" s="26"/>
      <c r="AI726" s="244"/>
      <c r="AM726" s="117"/>
      <c r="AN726" s="117"/>
      <c r="AP726" s="259"/>
      <c r="AR726" s="26"/>
      <c r="AS726" s="26">
        <v>228.18</v>
      </c>
      <c r="AU726" s="26"/>
      <c r="AV726" s="244"/>
      <c r="AZ726" s="117"/>
      <c r="BA726" s="117"/>
      <c r="BC726" s="259"/>
      <c r="BE726" s="26"/>
      <c r="BF726" s="26">
        <v>182.73</v>
      </c>
      <c r="BH726" s="26"/>
      <c r="BI726" s="244"/>
      <c r="BJ726" s="16">
        <f t="shared" si="350"/>
        <v>0</v>
      </c>
      <c r="BK726" s="122" t="str">
        <f t="shared" si="351"/>
        <v xml:space="preserve"> </v>
      </c>
      <c r="BM726" s="117">
        <v>0</v>
      </c>
      <c r="BN726" s="117">
        <v>0</v>
      </c>
      <c r="BP726" s="259"/>
      <c r="BR726" s="117">
        <v>0</v>
      </c>
      <c r="BS726" s="26"/>
      <c r="BU726" s="26">
        <v>0</v>
      </c>
      <c r="BV726" s="244"/>
      <c r="BW726" s="576">
        <f t="shared" si="352"/>
        <v>0</v>
      </c>
      <c r="BX726" s="577" t="str">
        <f t="shared" si="353"/>
        <v xml:space="preserve"> </v>
      </c>
      <c r="BZ726" s="166">
        <v>0</v>
      </c>
      <c r="CA726" s="166">
        <v>0</v>
      </c>
      <c r="CC726" s="753"/>
      <c r="CE726" s="166">
        <v>0</v>
      </c>
      <c r="CF726" s="166"/>
      <c r="CO726" s="16"/>
    </row>
    <row r="727" spans="1:93" x14ac:dyDescent="0.3">
      <c r="A727" s="11">
        <v>541</v>
      </c>
      <c r="B727" s="3" t="s">
        <v>2</v>
      </c>
      <c r="C727" s="37">
        <v>54105</v>
      </c>
      <c r="D727" s="37">
        <v>53430</v>
      </c>
      <c r="E727" s="49" t="s">
        <v>118</v>
      </c>
      <c r="F727" s="3" t="s">
        <v>2</v>
      </c>
      <c r="G727" s="3" t="s">
        <v>203</v>
      </c>
      <c r="H727" s="26">
        <v>2000</v>
      </c>
      <c r="I727" s="244">
        <v>50</v>
      </c>
      <c r="J727" s="16">
        <f t="shared" ref="J727:J731" si="354">H727+I727</f>
        <v>2050</v>
      </c>
      <c r="K727" s="122">
        <f t="shared" ref="K727:K731" si="355">IF(H727=0," ",(J727-H727)/H727)</f>
        <v>2.5000000000000001E-2</v>
      </c>
      <c r="M727" s="117">
        <v>2050</v>
      </c>
      <c r="N727" s="117">
        <v>2050</v>
      </c>
      <c r="P727" s="259"/>
      <c r="R727" s="26">
        <v>2050</v>
      </c>
      <c r="S727" s="26">
        <v>1398.72</v>
      </c>
      <c r="U727" s="26">
        <v>2050</v>
      </c>
      <c r="V727" s="244"/>
      <c r="W727" s="16">
        <f t="shared" ref="W727:W731" si="356">U727+V727</f>
        <v>2050</v>
      </c>
      <c r="X727" s="122">
        <f t="shared" ref="X727:X731" si="357">IF(U727=0," ",(W727-U727)/U727)</f>
        <v>0</v>
      </c>
      <c r="Z727" s="185">
        <v>2050</v>
      </c>
      <c r="AA727" s="185">
        <v>2050</v>
      </c>
      <c r="AC727" s="259" t="s">
        <v>754</v>
      </c>
      <c r="AE727" s="26">
        <v>2050</v>
      </c>
      <c r="AF727" s="200">
        <v>1228.5999999999999</v>
      </c>
      <c r="AH727" s="26">
        <v>2050</v>
      </c>
      <c r="AI727" s="244">
        <v>-350</v>
      </c>
      <c r="AJ727" s="16">
        <f t="shared" si="346"/>
        <v>1700</v>
      </c>
      <c r="AK727" s="122">
        <f t="shared" si="347"/>
        <v>-0.17073170731707318</v>
      </c>
      <c r="AM727" s="117">
        <v>1700</v>
      </c>
      <c r="AN727" s="117">
        <v>1700</v>
      </c>
      <c r="AP727" s="259"/>
      <c r="AR727" s="26">
        <v>1700</v>
      </c>
      <c r="AS727" s="26">
        <v>1678.04</v>
      </c>
      <c r="AU727" s="26">
        <f>AR727</f>
        <v>1700</v>
      </c>
      <c r="AV727" s="244"/>
      <c r="AW727" s="16">
        <f t="shared" si="348"/>
        <v>1700</v>
      </c>
      <c r="AX727" s="122">
        <f t="shared" si="349"/>
        <v>0</v>
      </c>
      <c r="AZ727" s="117">
        <v>1700</v>
      </c>
      <c r="BA727" s="117">
        <v>1700</v>
      </c>
      <c r="BC727" s="259"/>
      <c r="BE727" s="26">
        <v>1700</v>
      </c>
      <c r="BF727" s="26">
        <v>804.19</v>
      </c>
      <c r="BH727" s="26">
        <v>1700</v>
      </c>
      <c r="BI727" s="244"/>
      <c r="BJ727" s="16">
        <f t="shared" si="350"/>
        <v>1700</v>
      </c>
      <c r="BK727" s="122">
        <f t="shared" si="351"/>
        <v>0</v>
      </c>
      <c r="BM727" s="117">
        <v>1700</v>
      </c>
      <c r="BN727" s="117">
        <v>1700</v>
      </c>
      <c r="BP727" s="259"/>
      <c r="BR727" s="117">
        <v>1700</v>
      </c>
      <c r="BS727" s="26">
        <v>315.82</v>
      </c>
      <c r="BU727" s="26">
        <v>1700</v>
      </c>
      <c r="BV727" s="244">
        <v>-300</v>
      </c>
      <c r="BW727" s="576">
        <f t="shared" si="352"/>
        <v>1400</v>
      </c>
      <c r="BX727" s="577">
        <f t="shared" si="353"/>
        <v>-0.17647058823529413</v>
      </c>
      <c r="BZ727" s="166">
        <v>1400</v>
      </c>
      <c r="CA727" s="166">
        <v>1400</v>
      </c>
      <c r="CC727" s="755" t="s">
        <v>1372</v>
      </c>
      <c r="CE727" s="166">
        <v>1400</v>
      </c>
      <c r="CF727" s="166"/>
      <c r="CO727" s="16"/>
    </row>
    <row r="728" spans="1:93" x14ac:dyDescent="0.3">
      <c r="A728" s="11">
        <v>541</v>
      </c>
      <c r="B728" s="3" t="s">
        <v>2</v>
      </c>
      <c r="C728" s="37">
        <v>54105</v>
      </c>
      <c r="D728" s="37">
        <v>54200</v>
      </c>
      <c r="E728" s="49" t="s">
        <v>118</v>
      </c>
      <c r="F728" s="3" t="s">
        <v>2</v>
      </c>
      <c r="G728" s="3" t="s">
        <v>506</v>
      </c>
      <c r="H728" s="26">
        <v>641</v>
      </c>
      <c r="I728" s="244">
        <v>16.03</v>
      </c>
      <c r="J728" s="16">
        <f t="shared" si="354"/>
        <v>657.03</v>
      </c>
      <c r="K728" s="122">
        <f t="shared" si="355"/>
        <v>2.5007800312012437E-2</v>
      </c>
      <c r="M728" s="117">
        <v>650</v>
      </c>
      <c r="N728" s="117">
        <v>650</v>
      </c>
      <c r="P728" s="259"/>
      <c r="R728" s="26">
        <v>650</v>
      </c>
      <c r="S728" s="26">
        <v>57.84</v>
      </c>
      <c r="U728" s="26">
        <v>650</v>
      </c>
      <c r="V728" s="244"/>
      <c r="W728" s="16">
        <f t="shared" si="356"/>
        <v>650</v>
      </c>
      <c r="X728" s="122">
        <f t="shared" si="357"/>
        <v>0</v>
      </c>
      <c r="Z728" s="117">
        <v>650</v>
      </c>
      <c r="AA728" s="117">
        <v>650</v>
      </c>
      <c r="AC728" s="259"/>
      <c r="AE728" s="26">
        <v>650</v>
      </c>
      <c r="AF728" s="200">
        <v>506.74</v>
      </c>
      <c r="AH728" s="26">
        <v>650</v>
      </c>
      <c r="AI728" s="244">
        <v>-120</v>
      </c>
      <c r="AJ728" s="16">
        <f t="shared" si="346"/>
        <v>530</v>
      </c>
      <c r="AK728" s="122">
        <f t="shared" si="347"/>
        <v>-0.18461538461538463</v>
      </c>
      <c r="AM728" s="117">
        <v>530</v>
      </c>
      <c r="AN728" s="117">
        <v>530</v>
      </c>
      <c r="AP728" s="259"/>
      <c r="AR728" s="26">
        <v>530</v>
      </c>
      <c r="AS728" s="26">
        <v>365.55</v>
      </c>
      <c r="AU728" s="26">
        <f>AR728</f>
        <v>530</v>
      </c>
      <c r="AV728" s="244"/>
      <c r="AW728" s="16">
        <f t="shared" si="348"/>
        <v>530</v>
      </c>
      <c r="AX728" s="122">
        <f>IF(AU728=0," ",(AW728-AU728)/AU728)</f>
        <v>0</v>
      </c>
      <c r="AZ728" s="117">
        <v>530</v>
      </c>
      <c r="BA728" s="117">
        <v>530</v>
      </c>
      <c r="BC728" s="259"/>
      <c r="BE728" s="26">
        <v>530</v>
      </c>
      <c r="BF728" s="26">
        <v>235.81</v>
      </c>
      <c r="BH728" s="26">
        <v>530</v>
      </c>
      <c r="BI728" s="244"/>
      <c r="BJ728" s="16">
        <f t="shared" si="350"/>
        <v>530</v>
      </c>
      <c r="BK728" s="122">
        <f t="shared" si="351"/>
        <v>0</v>
      </c>
      <c r="BM728" s="117">
        <v>530</v>
      </c>
      <c r="BN728" s="117">
        <v>530</v>
      </c>
      <c r="BP728" s="259"/>
      <c r="BR728" s="117">
        <v>530</v>
      </c>
      <c r="BS728" s="26"/>
      <c r="BU728" s="26">
        <v>530</v>
      </c>
      <c r="BV728" s="244"/>
      <c r="BW728" s="576">
        <f t="shared" si="352"/>
        <v>530</v>
      </c>
      <c r="BX728" s="577">
        <f t="shared" si="353"/>
        <v>0</v>
      </c>
      <c r="BZ728" s="166">
        <v>530</v>
      </c>
      <c r="CA728" s="166">
        <v>530</v>
      </c>
      <c r="CC728" s="753"/>
      <c r="CE728" s="166">
        <v>530</v>
      </c>
      <c r="CF728" s="166"/>
      <c r="CO728" s="16"/>
    </row>
    <row r="729" spans="1:93" x14ac:dyDescent="0.3">
      <c r="A729" s="11">
        <v>541</v>
      </c>
      <c r="B729" s="3" t="s">
        <v>2</v>
      </c>
      <c r="C729" s="37">
        <v>54105</v>
      </c>
      <c r="D729" s="37">
        <v>57100</v>
      </c>
      <c r="E729" s="49" t="s">
        <v>118</v>
      </c>
      <c r="F729" s="3" t="s">
        <v>2</v>
      </c>
      <c r="G729" s="3" t="s">
        <v>204</v>
      </c>
      <c r="H729" s="26">
        <v>150</v>
      </c>
      <c r="I729" s="244">
        <v>500</v>
      </c>
      <c r="J729" s="16">
        <f t="shared" si="354"/>
        <v>650</v>
      </c>
      <c r="K729" s="122">
        <f t="shared" si="355"/>
        <v>3.3333333333333335</v>
      </c>
      <c r="M729" s="117">
        <v>650</v>
      </c>
      <c r="N729" s="117">
        <v>650</v>
      </c>
      <c r="P729" s="259"/>
      <c r="R729" s="26">
        <v>650</v>
      </c>
      <c r="S729" s="26">
        <v>1728.52</v>
      </c>
      <c r="U729" s="26">
        <v>650</v>
      </c>
      <c r="V729" s="244"/>
      <c r="W729" s="16">
        <f t="shared" si="356"/>
        <v>650</v>
      </c>
      <c r="X729" s="122">
        <f t="shared" si="357"/>
        <v>0</v>
      </c>
      <c r="Z729" s="117">
        <v>650</v>
      </c>
      <c r="AA729" s="117">
        <v>650</v>
      </c>
      <c r="AC729" s="259"/>
      <c r="AE729" s="26">
        <v>0</v>
      </c>
      <c r="AF729" s="200">
        <v>504.56</v>
      </c>
      <c r="AH729" s="26"/>
      <c r="AI729" s="244"/>
      <c r="AJ729" s="16">
        <f t="shared" si="346"/>
        <v>0</v>
      </c>
      <c r="AK729" s="122" t="str">
        <f t="shared" si="347"/>
        <v xml:space="preserve"> </v>
      </c>
      <c r="AM729" s="117"/>
      <c r="AN729" s="117"/>
      <c r="AP729" s="259"/>
      <c r="AR729" s="26"/>
      <c r="AS729" s="26">
        <v>156.72</v>
      </c>
      <c r="AU729" s="26"/>
      <c r="AV729" s="244"/>
      <c r="AW729" s="16">
        <f t="shared" si="348"/>
        <v>0</v>
      </c>
      <c r="AX729" s="122" t="str">
        <f>IF(AU729=0," ",(AW729-AU729)/AU729)</f>
        <v xml:space="preserve"> </v>
      </c>
      <c r="AZ729" s="117">
        <v>0</v>
      </c>
      <c r="BA729" s="117">
        <v>0</v>
      </c>
      <c r="BC729" s="259"/>
      <c r="BE729" s="26">
        <v>0</v>
      </c>
      <c r="BF729" s="26">
        <v>181.52</v>
      </c>
      <c r="BH729" s="26">
        <v>0</v>
      </c>
      <c r="BI729" s="244"/>
      <c r="BJ729" s="16">
        <f t="shared" si="350"/>
        <v>0</v>
      </c>
      <c r="BK729" s="122" t="str">
        <f t="shared" si="351"/>
        <v xml:space="preserve"> </v>
      </c>
      <c r="BM729" s="117">
        <v>0</v>
      </c>
      <c r="BN729" s="117">
        <v>0</v>
      </c>
      <c r="BP729" s="259"/>
      <c r="BR729" s="117">
        <v>0</v>
      </c>
      <c r="BS729" s="26">
        <v>30.16</v>
      </c>
      <c r="BU729" s="26">
        <v>0</v>
      </c>
      <c r="BV729" s="244">
        <v>300</v>
      </c>
      <c r="BW729" s="576">
        <f t="shared" si="352"/>
        <v>300</v>
      </c>
      <c r="BX729" s="577" t="str">
        <f t="shared" si="353"/>
        <v xml:space="preserve"> </v>
      </c>
      <c r="BZ729" s="166">
        <v>300</v>
      </c>
      <c r="CA729" s="166">
        <v>300</v>
      </c>
      <c r="CC729" s="755" t="s">
        <v>1372</v>
      </c>
      <c r="CE729" s="166">
        <v>300</v>
      </c>
      <c r="CF729" s="166"/>
      <c r="CO729" s="16"/>
    </row>
    <row r="730" spans="1:93" x14ac:dyDescent="0.3">
      <c r="A730" s="11">
        <v>541</v>
      </c>
      <c r="B730" s="3" t="s">
        <v>2</v>
      </c>
      <c r="C730" s="37">
        <v>54105</v>
      </c>
      <c r="D730" s="37">
        <v>57300</v>
      </c>
      <c r="E730" s="49" t="s">
        <v>118</v>
      </c>
      <c r="F730" s="3" t="s">
        <v>2</v>
      </c>
      <c r="G730" s="3" t="s">
        <v>205</v>
      </c>
      <c r="H730" s="26">
        <v>145</v>
      </c>
      <c r="I730" s="244">
        <v>151.6</v>
      </c>
      <c r="J730" s="16">
        <f t="shared" si="354"/>
        <v>296.60000000000002</v>
      </c>
      <c r="K730" s="122">
        <f t="shared" si="355"/>
        <v>1.0455172413793106</v>
      </c>
      <c r="M730" s="117">
        <v>290</v>
      </c>
      <c r="N730" s="117">
        <v>290</v>
      </c>
      <c r="P730" s="259"/>
      <c r="R730" s="26">
        <v>290</v>
      </c>
      <c r="S730" s="26">
        <v>296.60000000000002</v>
      </c>
      <c r="U730" s="26">
        <v>290</v>
      </c>
      <c r="V730" s="244"/>
      <c r="W730" s="16">
        <f t="shared" si="356"/>
        <v>290</v>
      </c>
      <c r="X730" s="122">
        <f t="shared" si="357"/>
        <v>0</v>
      </c>
      <c r="Z730" s="117">
        <v>290</v>
      </c>
      <c r="AA730" s="117">
        <v>290</v>
      </c>
      <c r="AC730" s="259"/>
      <c r="AE730" s="26">
        <v>650</v>
      </c>
      <c r="AF730" s="200">
        <v>516.6</v>
      </c>
      <c r="AH730" s="26">
        <v>650</v>
      </c>
      <c r="AI730" s="244">
        <v>25</v>
      </c>
      <c r="AJ730" s="16">
        <f>AH730+AI730</f>
        <v>675</v>
      </c>
      <c r="AK730" s="122">
        <f t="shared" si="347"/>
        <v>3.8461538461538464E-2</v>
      </c>
      <c r="AM730" s="117">
        <v>675</v>
      </c>
      <c r="AN730" s="117">
        <v>675</v>
      </c>
      <c r="AP730" s="259"/>
      <c r="AR730" s="26">
        <v>675</v>
      </c>
      <c r="AS730" s="26">
        <v>741.8</v>
      </c>
      <c r="AU730" s="26">
        <f>AR730</f>
        <v>675</v>
      </c>
      <c r="AV730" s="244"/>
      <c r="AW730" s="16">
        <f t="shared" si="348"/>
        <v>675</v>
      </c>
      <c r="AX730" s="122">
        <f t="shared" si="349"/>
        <v>0</v>
      </c>
      <c r="AZ730" s="117">
        <v>675</v>
      </c>
      <c r="BA730" s="117">
        <f>675+31</f>
        <v>706</v>
      </c>
      <c r="BC730" s="266" t="s">
        <v>1014</v>
      </c>
      <c r="BE730" s="26">
        <f>675+31</f>
        <v>706</v>
      </c>
      <c r="BF730" s="26">
        <v>20</v>
      </c>
      <c r="BH730" s="26">
        <f>675+31</f>
        <v>706</v>
      </c>
      <c r="BI730" s="244"/>
      <c r="BJ730" s="16">
        <f t="shared" si="350"/>
        <v>706</v>
      </c>
      <c r="BK730" s="122">
        <f t="shared" si="351"/>
        <v>0</v>
      </c>
      <c r="BM730" s="117">
        <v>706</v>
      </c>
      <c r="BN730" s="117">
        <v>706</v>
      </c>
      <c r="BP730" s="259"/>
      <c r="BR730" s="117">
        <v>706</v>
      </c>
      <c r="BS730" s="26">
        <v>480.92</v>
      </c>
      <c r="BU730" s="26">
        <v>706</v>
      </c>
      <c r="BV730" s="244"/>
      <c r="BW730" s="576">
        <f t="shared" si="352"/>
        <v>706</v>
      </c>
      <c r="BX730" s="577">
        <f t="shared" si="353"/>
        <v>0</v>
      </c>
      <c r="BZ730" s="166">
        <v>706</v>
      </c>
      <c r="CA730" s="166">
        <v>706</v>
      </c>
      <c r="CC730" s="753"/>
      <c r="CE730" s="166">
        <v>706</v>
      </c>
      <c r="CF730" s="166"/>
      <c r="CO730" s="16"/>
    </row>
    <row r="731" spans="1:93" x14ac:dyDescent="0.3">
      <c r="A731" s="11">
        <v>541</v>
      </c>
      <c r="B731" s="3" t="s">
        <v>2</v>
      </c>
      <c r="C731" s="37">
        <v>54105</v>
      </c>
      <c r="D731" s="37">
        <v>57800</v>
      </c>
      <c r="E731" s="49" t="s">
        <v>118</v>
      </c>
      <c r="F731" s="3" t="s">
        <v>2</v>
      </c>
      <c r="G731" s="3" t="s">
        <v>694</v>
      </c>
      <c r="H731" s="26">
        <v>0</v>
      </c>
      <c r="I731" s="244"/>
      <c r="J731" s="16">
        <f t="shared" si="354"/>
        <v>0</v>
      </c>
      <c r="K731" s="122" t="str">
        <f t="shared" si="355"/>
        <v xml:space="preserve"> </v>
      </c>
      <c r="M731" s="117">
        <v>0</v>
      </c>
      <c r="N731" s="185">
        <v>390</v>
      </c>
      <c r="P731" s="259"/>
      <c r="R731" s="30">
        <v>390</v>
      </c>
      <c r="S731" s="30">
        <v>0</v>
      </c>
      <c r="U731" s="30">
        <v>390</v>
      </c>
      <c r="V731" s="244">
        <v>-390</v>
      </c>
      <c r="W731" s="16">
        <f t="shared" si="356"/>
        <v>0</v>
      </c>
      <c r="X731" s="122">
        <f t="shared" si="357"/>
        <v>-1</v>
      </c>
      <c r="Z731" s="117">
        <v>0</v>
      </c>
      <c r="AA731" s="117">
        <v>0</v>
      </c>
      <c r="AC731" s="259" t="s">
        <v>695</v>
      </c>
      <c r="AE731" s="26">
        <v>290</v>
      </c>
      <c r="AF731" s="200">
        <v>0</v>
      </c>
      <c r="AH731" s="26">
        <v>290</v>
      </c>
      <c r="AI731" s="244">
        <v>35</v>
      </c>
      <c r="AJ731" s="16">
        <f>AH731+AI731</f>
        <v>325</v>
      </c>
      <c r="AK731" s="122">
        <f t="shared" si="347"/>
        <v>0.1206896551724138</v>
      </c>
      <c r="AM731" s="117">
        <v>325</v>
      </c>
      <c r="AN731" s="117">
        <v>325</v>
      </c>
      <c r="AP731" s="259"/>
      <c r="AR731" s="26">
        <v>325</v>
      </c>
      <c r="AS731" s="26">
        <v>0.24</v>
      </c>
      <c r="AU731" s="26">
        <f>AR731</f>
        <v>325</v>
      </c>
      <c r="AV731" s="244"/>
      <c r="AW731" s="16">
        <f t="shared" si="348"/>
        <v>325</v>
      </c>
      <c r="AX731" s="122">
        <f t="shared" si="349"/>
        <v>0</v>
      </c>
      <c r="AZ731" s="117">
        <v>325</v>
      </c>
      <c r="BA731" s="117">
        <v>325</v>
      </c>
      <c r="BC731" s="259"/>
      <c r="BE731" s="26">
        <v>325</v>
      </c>
      <c r="BF731" s="26">
        <v>0</v>
      </c>
      <c r="BH731" s="26">
        <v>325</v>
      </c>
      <c r="BI731" s="244"/>
      <c r="BJ731" s="16">
        <f>BH731+BI731</f>
        <v>325</v>
      </c>
      <c r="BK731" s="122">
        <f>IF(BH731=0," ",(BJ731-BH731)/BH731)</f>
        <v>0</v>
      </c>
      <c r="BM731" s="117">
        <v>325</v>
      </c>
      <c r="BN731" s="117">
        <v>325</v>
      </c>
      <c r="BP731" s="259"/>
      <c r="BR731" s="117">
        <v>325</v>
      </c>
      <c r="BS731" s="26"/>
      <c r="BU731" s="26">
        <v>325</v>
      </c>
      <c r="BV731" s="244"/>
      <c r="BW731" s="576">
        <f>BU731+BV731</f>
        <v>325</v>
      </c>
      <c r="BX731" s="577">
        <f>IF(BU731=0," ",(BW731-BU731)/BU731)</f>
        <v>0</v>
      </c>
      <c r="BZ731" s="166">
        <v>325</v>
      </c>
      <c r="CA731" s="166">
        <v>325</v>
      </c>
      <c r="CC731" s="753"/>
      <c r="CE731" s="166">
        <v>325</v>
      </c>
      <c r="CF731" s="166"/>
      <c r="CO731" s="16"/>
    </row>
    <row r="732" spans="1:93" s="19" customFormat="1" x14ac:dyDescent="0.3">
      <c r="A732" s="27"/>
      <c r="B732" s="8"/>
      <c r="C732" s="42"/>
      <c r="D732" s="42"/>
      <c r="E732" s="54"/>
      <c r="F732" s="8"/>
      <c r="G732" s="57" t="s">
        <v>201</v>
      </c>
      <c r="H732" s="28">
        <f>SUM(H725:H731)</f>
        <v>2936</v>
      </c>
      <c r="I732" s="28">
        <f>SUM(I725:I731)</f>
        <v>717.63</v>
      </c>
      <c r="J732" s="28">
        <f>SUM(J725:J731)</f>
        <v>3653.6299999999997</v>
      </c>
      <c r="K732" s="123">
        <f>IF(H732=0," ",(J732-H732)/H732)</f>
        <v>0.24442438692098081</v>
      </c>
      <c r="M732" s="28">
        <f>SUM(M725:M731)</f>
        <v>3640</v>
      </c>
      <c r="N732" s="28">
        <f>SUM(N723:N731)</f>
        <v>4030</v>
      </c>
      <c r="P732" s="139">
        <f>SUM(P727:P731)</f>
        <v>0</v>
      </c>
      <c r="R732" s="28">
        <f>SUM(R725:R731)</f>
        <v>4030</v>
      </c>
      <c r="S732" s="28">
        <f>SUM(S723:S731)</f>
        <v>4687.01</v>
      </c>
      <c r="U732" s="28">
        <f>SUM(U725:U731)</f>
        <v>4030</v>
      </c>
      <c r="V732" s="28">
        <f>SUM(V727:V731)</f>
        <v>-390</v>
      </c>
      <c r="W732" s="28">
        <f>SUM(W725:W731)</f>
        <v>4030</v>
      </c>
      <c r="X732" s="123">
        <f>IF(U732=0," ",(W732-U732)/U732)</f>
        <v>0</v>
      </c>
      <c r="Z732" s="28">
        <f>SUM(Z725:Z731)</f>
        <v>4030</v>
      </c>
      <c r="AA732" s="28">
        <f>SUM(AA725:AA731)</f>
        <v>4430</v>
      </c>
      <c r="AC732" s="139"/>
      <c r="AE732" s="28">
        <f>SUM(AE723:AE731)</f>
        <v>4430</v>
      </c>
      <c r="AF732" s="201">
        <f>SUM(AF723:AF731)</f>
        <v>4054.04</v>
      </c>
      <c r="AH732" s="28">
        <f>SUM(AH723:AH731)</f>
        <v>4430</v>
      </c>
      <c r="AI732" s="28">
        <f>SUM(AI723:AI731)</f>
        <v>0</v>
      </c>
      <c r="AJ732" s="28">
        <f>SUM(AJ723:AJ731)</f>
        <v>4430</v>
      </c>
      <c r="AK732" s="123">
        <f>IF(AH732=0," ",(AJ732-AH732)/AH732)</f>
        <v>0</v>
      </c>
      <c r="AM732" s="28">
        <f>SUM(AM723:AM731)</f>
        <v>5530</v>
      </c>
      <c r="AN732" s="28">
        <f>SUM(AN723:AN731)</f>
        <v>5530</v>
      </c>
      <c r="AP732" s="139"/>
      <c r="AR732" s="28">
        <f>SUM(AR723:AR731)</f>
        <v>5530</v>
      </c>
      <c r="AS732" s="28">
        <f>SUM(AS723:AS731)</f>
        <v>5730.38</v>
      </c>
      <c r="AU732" s="28">
        <f>SUM(AU723:AU731)</f>
        <v>5530</v>
      </c>
      <c r="AV732" s="28">
        <f>SUM(AV723:AV731)</f>
        <v>0</v>
      </c>
      <c r="AW732" s="28">
        <f>SUM(AW723:AW731)</f>
        <v>5530</v>
      </c>
      <c r="AX732" s="123">
        <f>IF(AU732=0," ",(AW732-AU732)/AU732)</f>
        <v>0</v>
      </c>
      <c r="AZ732" s="28">
        <f>SUM(AZ723:AZ731)</f>
        <v>5530</v>
      </c>
      <c r="BA732" s="28">
        <f>SUM(BA723:BA731)</f>
        <v>5561</v>
      </c>
      <c r="BC732" s="139"/>
      <c r="BE732" s="28">
        <f>SUM(BE723:BE731)</f>
        <v>5561</v>
      </c>
      <c r="BF732" s="28">
        <f>SUM(BF723:BF731)</f>
        <v>3307.59</v>
      </c>
      <c r="BG732" s="9"/>
      <c r="BH732" s="28">
        <f>SUM(BH723:BH731)</f>
        <v>5561</v>
      </c>
      <c r="BI732" s="28">
        <f>SUM(BI723:BI731)</f>
        <v>0</v>
      </c>
      <c r="BJ732" s="28">
        <f>SUM(BJ723:BJ731)</f>
        <v>5561</v>
      </c>
      <c r="BK732" s="123">
        <f>IF(BH732=0," ",(BJ732-BH732)/BH732)</f>
        <v>0</v>
      </c>
      <c r="BM732" s="28">
        <f>SUM(BM723:BM731)</f>
        <v>5561</v>
      </c>
      <c r="BN732" s="28">
        <f>SUM(BN723:BN731)</f>
        <v>5561</v>
      </c>
      <c r="BP732" s="139"/>
      <c r="BR732" s="28">
        <f>SUM(BR723:BR731)</f>
        <v>5561</v>
      </c>
      <c r="BS732" s="28">
        <f>SUM(BS723:BS731)</f>
        <v>2278.84</v>
      </c>
      <c r="BT732" s="9"/>
      <c r="BU732" s="28">
        <f>SUM(BU723:BU731)</f>
        <v>5561</v>
      </c>
      <c r="BV732" s="532">
        <f>SUM(BV723:BV731)</f>
        <v>0</v>
      </c>
      <c r="BW732" s="591">
        <f>SUM(BW723:BW731)</f>
        <v>5561</v>
      </c>
      <c r="BX732" s="579">
        <f>IF(BU732=0," ",(BW732-BU732)/BU732)</f>
        <v>0</v>
      </c>
      <c r="BY732" s="580"/>
      <c r="BZ732" s="591">
        <f>SUM(BZ723:BZ731)</f>
        <v>5561</v>
      </c>
      <c r="CA732" s="591">
        <f>SUM(CA723:CA731)</f>
        <v>5561</v>
      </c>
      <c r="CB732" s="580"/>
      <c r="CC732" s="769"/>
      <c r="CD732" s="580"/>
      <c r="CE732" s="591">
        <f>SUM(CE723:CE731)</f>
        <v>5561</v>
      </c>
      <c r="CF732" s="591">
        <f>SUM(CF723:CF731)</f>
        <v>0</v>
      </c>
      <c r="CG732" s="9"/>
      <c r="CH732" s="815"/>
      <c r="CI732" s="815"/>
      <c r="CJ732" s="887"/>
      <c r="CO732" s="16"/>
    </row>
    <row r="733" spans="1:93" ht="9.9" customHeight="1" x14ac:dyDescent="0.3">
      <c r="AS733" s="16"/>
      <c r="CO733" s="16"/>
    </row>
    <row r="734" spans="1:93" s="1" customFormat="1" x14ac:dyDescent="0.3">
      <c r="A734" s="20"/>
      <c r="B734" s="5"/>
      <c r="C734" s="39"/>
      <c r="D734" s="39"/>
      <c r="E734" s="51"/>
      <c r="F734" s="5"/>
      <c r="G734" s="21" t="s">
        <v>202</v>
      </c>
      <c r="H734" s="22">
        <f>H721+H732</f>
        <v>107049</v>
      </c>
      <c r="I734" s="22">
        <f>I721+I732</f>
        <v>1409.13</v>
      </c>
      <c r="J734" s="22">
        <f>J721+J732</f>
        <v>108458.13</v>
      </c>
      <c r="K734" s="124">
        <f>IF(H734=0," ",(J734-H734)/H734)</f>
        <v>1.3163411148165837E-2</v>
      </c>
      <c r="M734" s="22">
        <f>M721+M732</f>
        <v>108445</v>
      </c>
      <c r="N734" s="22">
        <f>N721+N732</f>
        <v>117394</v>
      </c>
      <c r="P734" s="136">
        <f>P721+P732</f>
        <v>0</v>
      </c>
      <c r="R734" s="22">
        <f>R721+R732</f>
        <v>117394</v>
      </c>
      <c r="S734" s="22">
        <f>S721+S732</f>
        <v>113152.09999999999</v>
      </c>
      <c r="U734" s="22">
        <f>U721+U732</f>
        <v>117394</v>
      </c>
      <c r="V734" s="22">
        <f>V721+V732</f>
        <v>4278</v>
      </c>
      <c r="W734" s="22">
        <f>W721+W732</f>
        <v>122062</v>
      </c>
      <c r="X734" s="124">
        <f>IF(U734=0," ",(W734-U734)/U734)</f>
        <v>3.9763531355946638E-2</v>
      </c>
      <c r="Z734" s="22">
        <f>Z721+Z732</f>
        <v>122062</v>
      </c>
      <c r="AA734" s="22">
        <f>AA721+AA732</f>
        <v>122462</v>
      </c>
      <c r="AC734" s="136"/>
      <c r="AE734" s="22">
        <f>AE721+AE732</f>
        <v>122462</v>
      </c>
      <c r="AF734" s="199">
        <f>AF721+AF732</f>
        <v>122084.65</v>
      </c>
      <c r="AH734" s="22">
        <v>122462</v>
      </c>
      <c r="AI734" s="22">
        <f>AI721+AI732</f>
        <v>7039</v>
      </c>
      <c r="AJ734" s="22">
        <f>AJ721+AJ732</f>
        <v>129501</v>
      </c>
      <c r="AK734" s="124">
        <f>IF(AH734=0," ",(AJ734-AH734)/AH734)</f>
        <v>5.7479054727180678E-2</v>
      </c>
      <c r="AM734" s="22">
        <f>AM721+AM732</f>
        <v>134841</v>
      </c>
      <c r="AN734" s="22">
        <f>AN721+AN732</f>
        <v>134841</v>
      </c>
      <c r="AP734" s="136"/>
      <c r="AR734" s="22">
        <f>AR721+AR732</f>
        <v>134841</v>
      </c>
      <c r="AS734" s="22">
        <f>AS721+AS732</f>
        <v>125530.9</v>
      </c>
      <c r="AU734" s="22">
        <f>AU721+AU732</f>
        <v>134841</v>
      </c>
      <c r="AV734" s="22">
        <f>AV721+AV732</f>
        <v>8707</v>
      </c>
      <c r="AW734" s="22">
        <f>AW721+AW732</f>
        <v>143548</v>
      </c>
      <c r="AX734" s="124">
        <f>IF(AU734=0," ",(AW734-AU734)/AU734)</f>
        <v>6.4572348173033423E-2</v>
      </c>
      <c r="AZ734" s="22">
        <f>AZ721+AZ732</f>
        <v>140113</v>
      </c>
      <c r="BA734" s="22">
        <f>BA721+BA732</f>
        <v>137138</v>
      </c>
      <c r="BC734" s="136"/>
      <c r="BE734" s="22">
        <f>BE721+BE732</f>
        <v>137138</v>
      </c>
      <c r="BF734" s="22">
        <f>BF721+BF732</f>
        <v>104763.56999999999</v>
      </c>
      <c r="BH734" s="22">
        <f>BH721+BH732</f>
        <v>137138</v>
      </c>
      <c r="BI734" s="22">
        <f>BI721+BI732</f>
        <v>703</v>
      </c>
      <c r="BJ734" s="22">
        <f>BJ721+BJ732</f>
        <v>137841</v>
      </c>
      <c r="BK734" s="124">
        <f>IF(BH734=0," ",(BJ734-BH734)/BH734)</f>
        <v>5.1262232204057224E-3</v>
      </c>
      <c r="BM734" s="22">
        <f>BM721+BM732</f>
        <v>137841</v>
      </c>
      <c r="BN734" s="22">
        <f>BN721+BN732</f>
        <v>137841</v>
      </c>
      <c r="BP734" s="136"/>
      <c r="BR734" s="22">
        <f>BR721+BR732</f>
        <v>137841</v>
      </c>
      <c r="BS734" s="22">
        <f>BS721+BS732</f>
        <v>59026.649999999994</v>
      </c>
      <c r="BU734" s="22">
        <f>BU721+BU732</f>
        <v>137841</v>
      </c>
      <c r="BV734" s="531">
        <f>BV721+BV732</f>
        <v>2559</v>
      </c>
      <c r="BW734" s="581">
        <f>BW721+BW732</f>
        <v>140400</v>
      </c>
      <c r="BX734" s="582">
        <f>IF(BU734=0," ",(BW734-BU734)/BU734)</f>
        <v>1.8564868217729121E-2</v>
      </c>
      <c r="BY734" s="573"/>
      <c r="BZ734" s="581">
        <f>BZ721+BZ732</f>
        <v>140400</v>
      </c>
      <c r="CA734" s="581">
        <f>CA721+CA732</f>
        <v>140400</v>
      </c>
      <c r="CB734" s="573"/>
      <c r="CC734" s="764"/>
      <c r="CD734" s="573"/>
      <c r="CE734" s="581">
        <f>CE721+CE732</f>
        <v>140400</v>
      </c>
      <c r="CF734" s="581">
        <f>CF721+CF732</f>
        <v>0</v>
      </c>
      <c r="CH734" s="812"/>
      <c r="CI734" s="812"/>
      <c r="CJ734" s="887"/>
      <c r="CO734" s="16"/>
    </row>
    <row r="735" spans="1:93" ht="20.100000000000001" customHeight="1" x14ac:dyDescent="0.3">
      <c r="AS735" s="16"/>
      <c r="CO735" s="16"/>
    </row>
    <row r="736" spans="1:93" s="1" customFormat="1" ht="15.6" x14ac:dyDescent="0.3">
      <c r="A736" s="14" t="s">
        <v>213</v>
      </c>
      <c r="B736" s="2"/>
      <c r="C736" s="36"/>
      <c r="D736" s="36"/>
      <c r="E736" s="48"/>
      <c r="F736" s="2"/>
      <c r="G736" s="2"/>
      <c r="H736" s="15"/>
      <c r="I736" s="15"/>
      <c r="J736" s="15"/>
      <c r="K736" s="121"/>
      <c r="M736" s="15"/>
      <c r="N736" s="15"/>
      <c r="P736" s="133"/>
      <c r="R736" s="15"/>
      <c r="S736" s="15"/>
      <c r="U736" s="15"/>
      <c r="V736" s="15"/>
      <c r="W736" s="15"/>
      <c r="X736" s="121"/>
      <c r="Z736" s="15"/>
      <c r="AA736" s="15"/>
      <c r="AC736" s="133"/>
      <c r="AE736" s="15"/>
      <c r="AF736" s="196"/>
      <c r="AH736" s="15"/>
      <c r="AI736" s="15"/>
      <c r="AJ736" s="15"/>
      <c r="AK736" s="121"/>
      <c r="AM736" s="15"/>
      <c r="AN736" s="15"/>
      <c r="AP736" s="133"/>
      <c r="AR736" s="15"/>
      <c r="AS736" s="15"/>
      <c r="AU736" s="15"/>
      <c r="AV736" s="15"/>
      <c r="AW736" s="15"/>
      <c r="AX736" s="121"/>
      <c r="AZ736" s="15"/>
      <c r="BA736" s="15"/>
      <c r="BC736" s="133"/>
      <c r="BE736" s="15"/>
      <c r="BF736" s="15"/>
      <c r="BH736" s="15"/>
      <c r="BI736" s="15"/>
      <c r="BJ736" s="15"/>
      <c r="BK736" s="121"/>
      <c r="BM736" s="15"/>
      <c r="BN736" s="15"/>
      <c r="BP736" s="234"/>
      <c r="BR736" s="15"/>
      <c r="BS736" s="15"/>
      <c r="BU736" s="15"/>
      <c r="BV736" s="529"/>
      <c r="BW736" s="574"/>
      <c r="BX736" s="575"/>
      <c r="BY736" s="573"/>
      <c r="BZ736" s="574"/>
      <c r="CA736" s="574"/>
      <c r="CB736" s="573"/>
      <c r="CC736" s="761"/>
      <c r="CD736" s="573"/>
      <c r="CE736" s="574"/>
      <c r="CF736" s="574"/>
      <c r="CH736" s="812"/>
      <c r="CI736" s="812"/>
      <c r="CJ736" s="887"/>
      <c r="CO736" s="16"/>
    </row>
    <row r="737" spans="1:93" x14ac:dyDescent="0.3">
      <c r="A737" s="11">
        <v>546</v>
      </c>
      <c r="B737" s="3" t="s">
        <v>2</v>
      </c>
      <c r="C737" s="37">
        <v>54605</v>
      </c>
      <c r="D737" s="37">
        <v>53052</v>
      </c>
      <c r="E737" s="49" t="s">
        <v>118</v>
      </c>
      <c r="F737" s="3" t="s">
        <v>2</v>
      </c>
      <c r="G737" s="3" t="s">
        <v>207</v>
      </c>
      <c r="H737" s="26">
        <v>12000</v>
      </c>
      <c r="I737" s="244"/>
      <c r="J737" s="16">
        <f t="shared" ref="J737:J743" si="358">H737+I737</f>
        <v>12000</v>
      </c>
      <c r="K737" s="122">
        <f t="shared" ref="K737:K743" si="359">IF(H737=0," ",(J737-H737)/H737)</f>
        <v>0</v>
      </c>
      <c r="M737" s="117">
        <v>12000</v>
      </c>
      <c r="N737" s="117">
        <v>12000</v>
      </c>
      <c r="P737" s="259" t="s">
        <v>586</v>
      </c>
      <c r="R737" s="26">
        <v>12000</v>
      </c>
      <c r="S737" s="26">
        <v>12000</v>
      </c>
      <c r="U737" s="26">
        <v>12000</v>
      </c>
      <c r="V737" s="244"/>
      <c r="W737" s="16">
        <f t="shared" ref="W737:W743" si="360">U737+V737</f>
        <v>12000</v>
      </c>
      <c r="X737" s="122">
        <f t="shared" ref="X737:X743" si="361">IF(U737=0," ",(W737-U737)/U737)</f>
        <v>0</v>
      </c>
      <c r="Z737" s="117">
        <f t="shared" ref="Z737:Z743" si="362">W737</f>
        <v>12000</v>
      </c>
      <c r="AA737" s="117">
        <v>12000</v>
      </c>
      <c r="AC737" s="259"/>
      <c r="AE737" s="26">
        <v>12000</v>
      </c>
      <c r="AF737" s="200">
        <v>12000</v>
      </c>
      <c r="AH737" s="26">
        <v>12000</v>
      </c>
      <c r="AI737" s="244"/>
      <c r="AJ737" s="16">
        <f t="shared" ref="AJ737:AJ743" si="363">AH737+AI737</f>
        <v>12000</v>
      </c>
      <c r="AK737" s="122">
        <f t="shared" ref="AK737:AK743" si="364">IF(AH737=0," ",(AJ737-AH737)/AH737)</f>
        <v>0</v>
      </c>
      <c r="AM737" s="117">
        <v>12000</v>
      </c>
      <c r="AN737" s="117">
        <v>12000</v>
      </c>
      <c r="AP737" s="259"/>
      <c r="AR737" s="26">
        <v>12000</v>
      </c>
      <c r="AS737" s="26">
        <v>12000</v>
      </c>
      <c r="AU737" s="26">
        <f t="shared" ref="AU737:AU743" si="365">AR737</f>
        <v>12000</v>
      </c>
      <c r="AV737" s="244"/>
      <c r="AW737" s="16">
        <f t="shared" ref="AW737:AW743" si="366">AU737+AV737</f>
        <v>12000</v>
      </c>
      <c r="AX737" s="122">
        <f t="shared" ref="AX737:AX743" si="367">IF(AU737=0," ",(AW737-AU737)/AU737)</f>
        <v>0</v>
      </c>
      <c r="AZ737" s="117">
        <v>12000</v>
      </c>
      <c r="BA737" s="117">
        <v>12000</v>
      </c>
      <c r="BC737" s="259"/>
      <c r="BE737" s="26">
        <v>12000</v>
      </c>
      <c r="BF737" s="26">
        <v>12000</v>
      </c>
      <c r="BH737" s="26">
        <v>12000</v>
      </c>
      <c r="BI737" s="244"/>
      <c r="BJ737" s="16">
        <f>BH737+BI737</f>
        <v>12000</v>
      </c>
      <c r="BK737" s="122">
        <f>IF(BH737=0," ",(BJ737-BH737)/BH737)</f>
        <v>0</v>
      </c>
      <c r="BM737" s="117">
        <v>12000</v>
      </c>
      <c r="BN737" s="117">
        <v>12000</v>
      </c>
      <c r="BP737" s="259"/>
      <c r="BR737" s="117">
        <v>12000</v>
      </c>
      <c r="BS737" s="26">
        <v>5000</v>
      </c>
      <c r="BU737" s="26">
        <v>12000</v>
      </c>
      <c r="BV737" s="244"/>
      <c r="BW737" s="576">
        <f t="shared" ref="BW737:BW743" si="368">BU737+BV737</f>
        <v>12000</v>
      </c>
      <c r="BX737" s="577">
        <f>IF(BU737=0," ",(BW737-BU737)/BU737)</f>
        <v>0</v>
      </c>
      <c r="BZ737" s="166">
        <v>12000</v>
      </c>
      <c r="CA737" s="166">
        <v>12000</v>
      </c>
      <c r="CC737" s="753"/>
      <c r="CE737" s="166">
        <v>12000</v>
      </c>
      <c r="CF737" s="166"/>
      <c r="CO737" s="16"/>
    </row>
    <row r="738" spans="1:93" x14ac:dyDescent="0.3">
      <c r="A738" s="11">
        <v>546</v>
      </c>
      <c r="B738" s="3" t="s">
        <v>2</v>
      </c>
      <c r="C738" s="37">
        <v>54605</v>
      </c>
      <c r="D738" s="37">
        <v>53430</v>
      </c>
      <c r="E738" s="49" t="s">
        <v>118</v>
      </c>
      <c r="F738" s="3" t="s">
        <v>2</v>
      </c>
      <c r="G738" s="3" t="s">
        <v>208</v>
      </c>
      <c r="H738" s="26">
        <v>300</v>
      </c>
      <c r="I738" s="244"/>
      <c r="J738" s="16">
        <f t="shared" si="358"/>
        <v>300</v>
      </c>
      <c r="K738" s="122">
        <f t="shared" si="359"/>
        <v>0</v>
      </c>
      <c r="M738" s="117">
        <v>300</v>
      </c>
      <c r="N738" s="117">
        <v>300</v>
      </c>
      <c r="P738" s="259"/>
      <c r="R738" s="26">
        <v>300</v>
      </c>
      <c r="S738" s="26">
        <v>0</v>
      </c>
      <c r="U738" s="26">
        <v>300</v>
      </c>
      <c r="V738" s="244"/>
      <c r="W738" s="16">
        <f t="shared" si="360"/>
        <v>300</v>
      </c>
      <c r="X738" s="122">
        <f t="shared" si="361"/>
        <v>0</v>
      </c>
      <c r="Z738" s="117">
        <f t="shared" si="362"/>
        <v>300</v>
      </c>
      <c r="AA738" s="117">
        <v>300</v>
      </c>
      <c r="AC738" s="259"/>
      <c r="AE738" s="26">
        <v>300</v>
      </c>
      <c r="AF738" s="200">
        <v>0</v>
      </c>
      <c r="AH738" s="26">
        <v>300</v>
      </c>
      <c r="AI738" s="244"/>
      <c r="AJ738" s="16">
        <f t="shared" si="363"/>
        <v>300</v>
      </c>
      <c r="AK738" s="122">
        <f t="shared" si="364"/>
        <v>0</v>
      </c>
      <c r="AM738" s="117">
        <v>300</v>
      </c>
      <c r="AN738" s="117">
        <v>300</v>
      </c>
      <c r="AP738" s="259"/>
      <c r="AR738" s="26">
        <v>300</v>
      </c>
      <c r="AS738" s="26">
        <v>0.5</v>
      </c>
      <c r="AU738" s="26">
        <f t="shared" si="365"/>
        <v>300</v>
      </c>
      <c r="AV738" s="244"/>
      <c r="AW738" s="16">
        <f t="shared" si="366"/>
        <v>300</v>
      </c>
      <c r="AX738" s="122">
        <f t="shared" si="367"/>
        <v>0</v>
      </c>
      <c r="AZ738" s="117">
        <v>300</v>
      </c>
      <c r="BA738" s="117">
        <v>300</v>
      </c>
      <c r="BC738" s="259"/>
      <c r="BE738" s="26">
        <v>300</v>
      </c>
      <c r="BF738" s="26">
        <v>3.31</v>
      </c>
      <c r="BH738" s="26">
        <v>300</v>
      </c>
      <c r="BI738" s="244"/>
      <c r="BJ738" s="16">
        <f>BH738+BI738</f>
        <v>300</v>
      </c>
      <c r="BK738" s="122">
        <f>IF(BH738=0," ",(BJ738-BH738)/BH738)</f>
        <v>0</v>
      </c>
      <c r="BM738" s="117">
        <v>300</v>
      </c>
      <c r="BN738" s="117">
        <v>300</v>
      </c>
      <c r="BP738" s="259"/>
      <c r="BR738" s="117">
        <v>300</v>
      </c>
      <c r="BS738" s="26">
        <v>4.5</v>
      </c>
      <c r="BU738" s="26">
        <v>300</v>
      </c>
      <c r="BV738" s="244"/>
      <c r="BW738" s="576">
        <f t="shared" si="368"/>
        <v>300</v>
      </c>
      <c r="BX738" s="577">
        <f>IF(BU738=0," ",(BW738-BU738)/BU738)</f>
        <v>0</v>
      </c>
      <c r="BZ738" s="166">
        <v>300</v>
      </c>
      <c r="CA738" s="166">
        <v>300</v>
      </c>
      <c r="CC738" s="753"/>
      <c r="CE738" s="166">
        <v>300</v>
      </c>
      <c r="CF738" s="166"/>
      <c r="CO738" s="16"/>
    </row>
    <row r="739" spans="1:93" x14ac:dyDescent="0.3">
      <c r="A739" s="11">
        <v>546</v>
      </c>
      <c r="B739" s="3" t="s">
        <v>2</v>
      </c>
      <c r="C739" s="37">
        <v>54605</v>
      </c>
      <c r="D739" s="37">
        <v>54200</v>
      </c>
      <c r="E739" s="49" t="s">
        <v>118</v>
      </c>
      <c r="F739" s="3" t="s">
        <v>2</v>
      </c>
      <c r="G739" s="3" t="s">
        <v>209</v>
      </c>
      <c r="H739" s="26">
        <v>60</v>
      </c>
      <c r="I739" s="244"/>
      <c r="J739" s="16">
        <f t="shared" si="358"/>
        <v>60</v>
      </c>
      <c r="K739" s="122">
        <f t="shared" si="359"/>
        <v>0</v>
      </c>
      <c r="M739" s="117">
        <v>60</v>
      </c>
      <c r="N739" s="117">
        <v>60</v>
      </c>
      <c r="P739" s="259"/>
      <c r="R739" s="26">
        <v>60</v>
      </c>
      <c r="S739" s="26">
        <v>0</v>
      </c>
      <c r="U739" s="26">
        <v>60</v>
      </c>
      <c r="V739" s="244"/>
      <c r="W739" s="16">
        <f t="shared" si="360"/>
        <v>60</v>
      </c>
      <c r="X739" s="122">
        <f t="shared" si="361"/>
        <v>0</v>
      </c>
      <c r="Z739" s="117">
        <f t="shared" si="362"/>
        <v>60</v>
      </c>
      <c r="AA739" s="117">
        <v>60</v>
      </c>
      <c r="AC739" s="259"/>
      <c r="AE739" s="26">
        <v>60</v>
      </c>
      <c r="AF739" s="200">
        <v>0</v>
      </c>
      <c r="AH739" s="26">
        <v>60</v>
      </c>
      <c r="AI739" s="244"/>
      <c r="AJ739" s="16">
        <f t="shared" si="363"/>
        <v>60</v>
      </c>
      <c r="AK739" s="122">
        <f t="shared" si="364"/>
        <v>0</v>
      </c>
      <c r="AM739" s="117">
        <v>60</v>
      </c>
      <c r="AN739" s="117">
        <v>60</v>
      </c>
      <c r="AP739" s="259"/>
      <c r="AR739" s="26">
        <v>60</v>
      </c>
      <c r="AS739" s="26">
        <v>0</v>
      </c>
      <c r="AU739" s="26">
        <f t="shared" si="365"/>
        <v>60</v>
      </c>
      <c r="AV739" s="244"/>
      <c r="AW739" s="16">
        <f t="shared" si="366"/>
        <v>60</v>
      </c>
      <c r="AX739" s="122">
        <f t="shared" si="367"/>
        <v>0</v>
      </c>
      <c r="AZ739" s="117">
        <v>60</v>
      </c>
      <c r="BA739" s="117">
        <v>60</v>
      </c>
      <c r="BC739" s="259"/>
      <c r="BE739" s="26">
        <v>60</v>
      </c>
      <c r="BF739" s="26">
        <v>0</v>
      </c>
      <c r="BH739" s="26">
        <v>60</v>
      </c>
      <c r="BI739" s="244"/>
      <c r="BJ739" s="16">
        <f>BH739+BI739</f>
        <v>60</v>
      </c>
      <c r="BK739" s="122">
        <f>IF(BH739=0," ",(BJ739-BH739)/BH739)</f>
        <v>0</v>
      </c>
      <c r="BM739" s="117">
        <v>60</v>
      </c>
      <c r="BN739" s="117">
        <v>60</v>
      </c>
      <c r="BP739" s="259"/>
      <c r="BR739" s="117">
        <v>60</v>
      </c>
      <c r="BS739" s="26"/>
      <c r="BU739" s="26">
        <v>60</v>
      </c>
      <c r="BV739" s="244"/>
      <c r="BW739" s="576">
        <f t="shared" si="368"/>
        <v>60</v>
      </c>
      <c r="BX739" s="577">
        <f>IF(BU739=0," ",(BW739-BU739)/BU739)</f>
        <v>0</v>
      </c>
      <c r="BZ739" s="166">
        <v>60</v>
      </c>
      <c r="CA739" s="166">
        <v>60</v>
      </c>
      <c r="CC739" s="753"/>
      <c r="CE739" s="166">
        <v>60</v>
      </c>
      <c r="CF739" s="166"/>
      <c r="CO739" s="16"/>
    </row>
    <row r="740" spans="1:93" x14ac:dyDescent="0.3">
      <c r="A740" s="11">
        <v>546</v>
      </c>
      <c r="B740" s="3" t="s">
        <v>2</v>
      </c>
      <c r="C740" s="37">
        <v>54605</v>
      </c>
      <c r="D740" s="37">
        <v>55800</v>
      </c>
      <c r="E740" s="49" t="s">
        <v>118</v>
      </c>
      <c r="F740" s="3" t="s">
        <v>2</v>
      </c>
      <c r="G740" s="3" t="s">
        <v>940</v>
      </c>
      <c r="H740" s="26"/>
      <c r="I740" s="244"/>
      <c r="M740" s="117"/>
      <c r="N740" s="117"/>
      <c r="P740" s="259"/>
      <c r="R740" s="26"/>
      <c r="S740" s="26"/>
      <c r="U740" s="26"/>
      <c r="V740" s="244"/>
      <c r="Z740" s="117"/>
      <c r="AA740" s="117"/>
      <c r="AC740" s="259"/>
      <c r="AE740" s="26"/>
      <c r="AF740" s="200">
        <v>1000</v>
      </c>
      <c r="AH740" s="26"/>
      <c r="AI740" s="244"/>
      <c r="AM740" s="117"/>
      <c r="AN740" s="117"/>
      <c r="AP740" s="259"/>
      <c r="AR740" s="26"/>
      <c r="AS740" s="26">
        <v>0</v>
      </c>
      <c r="AU740" s="26">
        <f t="shared" si="365"/>
        <v>0</v>
      </c>
      <c r="AV740" s="244"/>
      <c r="AZ740" s="117"/>
      <c r="BA740" s="117"/>
      <c r="BC740" s="259"/>
      <c r="BE740" s="26"/>
      <c r="BF740" s="26">
        <v>0</v>
      </c>
      <c r="BH740" s="26"/>
      <c r="BI740" s="244"/>
      <c r="BM740" s="117"/>
      <c r="BN740" s="117"/>
      <c r="BP740" s="259"/>
      <c r="BR740" s="117"/>
      <c r="BS740" s="26"/>
      <c r="BU740" s="26"/>
      <c r="BV740" s="244"/>
      <c r="BW740" s="576">
        <f t="shared" si="368"/>
        <v>0</v>
      </c>
      <c r="BZ740" s="166">
        <v>0</v>
      </c>
      <c r="CA740" s="166">
        <v>0</v>
      </c>
      <c r="CC740" s="753"/>
      <c r="CE740" s="166">
        <v>0</v>
      </c>
      <c r="CF740" s="166"/>
      <c r="CO740" s="16"/>
    </row>
    <row r="741" spans="1:93" x14ac:dyDescent="0.3">
      <c r="A741" s="11">
        <v>546</v>
      </c>
      <c r="B741" s="3" t="s">
        <v>2</v>
      </c>
      <c r="C741" s="37">
        <v>54605</v>
      </c>
      <c r="D741" s="37">
        <v>57100</v>
      </c>
      <c r="E741" s="49" t="s">
        <v>118</v>
      </c>
      <c r="F741" s="3" t="s">
        <v>2</v>
      </c>
      <c r="G741" s="3" t="s">
        <v>210</v>
      </c>
      <c r="H741" s="26">
        <v>300</v>
      </c>
      <c r="I741" s="244"/>
      <c r="J741" s="16">
        <f t="shared" si="358"/>
        <v>300</v>
      </c>
      <c r="K741" s="122">
        <f t="shared" si="359"/>
        <v>0</v>
      </c>
      <c r="M741" s="117">
        <v>300</v>
      </c>
      <c r="N741" s="117">
        <v>300</v>
      </c>
      <c r="P741" s="259"/>
      <c r="R741" s="26">
        <v>300</v>
      </c>
      <c r="S741" s="26">
        <v>55.64</v>
      </c>
      <c r="U741" s="26">
        <v>300</v>
      </c>
      <c r="V741" s="244"/>
      <c r="W741" s="16">
        <f t="shared" si="360"/>
        <v>300</v>
      </c>
      <c r="X741" s="122">
        <f t="shared" si="361"/>
        <v>0</v>
      </c>
      <c r="Z741" s="117">
        <f t="shared" si="362"/>
        <v>300</v>
      </c>
      <c r="AA741" s="117">
        <v>300</v>
      </c>
      <c r="AC741" s="259"/>
      <c r="AE741" s="26">
        <v>300</v>
      </c>
      <c r="AF741" s="200">
        <v>445.31</v>
      </c>
      <c r="AH741" s="26">
        <v>300</v>
      </c>
      <c r="AI741" s="244"/>
      <c r="AJ741" s="16">
        <f t="shared" si="363"/>
        <v>300</v>
      </c>
      <c r="AK741" s="122">
        <f t="shared" si="364"/>
        <v>0</v>
      </c>
      <c r="AM741" s="117">
        <v>300</v>
      </c>
      <c r="AN741" s="117">
        <v>300</v>
      </c>
      <c r="AP741" s="259"/>
      <c r="AR741" s="26">
        <v>300</v>
      </c>
      <c r="AS741" s="26">
        <v>0</v>
      </c>
      <c r="AU741" s="26">
        <f t="shared" si="365"/>
        <v>300</v>
      </c>
      <c r="AV741" s="244"/>
      <c r="AW741" s="16">
        <f t="shared" si="366"/>
        <v>300</v>
      </c>
      <c r="AX741" s="122">
        <f t="shared" si="367"/>
        <v>0</v>
      </c>
      <c r="AZ741" s="117">
        <v>300</v>
      </c>
      <c r="BA741" s="117">
        <v>300</v>
      </c>
      <c r="BC741" s="259"/>
      <c r="BE741" s="26">
        <v>300</v>
      </c>
      <c r="BF741" s="26">
        <v>0</v>
      </c>
      <c r="BH741" s="26">
        <v>300</v>
      </c>
      <c r="BI741" s="244"/>
      <c r="BJ741" s="16">
        <f>BH741+BI741</f>
        <v>300</v>
      </c>
      <c r="BK741" s="122">
        <f>IF(BH741=0," ",(BJ741-BH741)/BH741)</f>
        <v>0</v>
      </c>
      <c r="BM741" s="117">
        <v>300</v>
      </c>
      <c r="BN741" s="117">
        <v>300</v>
      </c>
      <c r="BP741" s="259"/>
      <c r="BR741" s="117">
        <v>300</v>
      </c>
      <c r="BS741" s="26"/>
      <c r="BU741" s="26">
        <v>300</v>
      </c>
      <c r="BV741" s="244"/>
      <c r="BW741" s="576">
        <f t="shared" si="368"/>
        <v>300</v>
      </c>
      <c r="BX741" s="577">
        <f>IF(BU741=0," ",(BW741-BU741)/BU741)</f>
        <v>0</v>
      </c>
      <c r="BZ741" s="166">
        <v>300</v>
      </c>
      <c r="CA741" s="166">
        <v>300</v>
      </c>
      <c r="CC741" s="753"/>
      <c r="CE741" s="166">
        <v>300</v>
      </c>
      <c r="CF741" s="166"/>
      <c r="CO741" s="16"/>
    </row>
    <row r="742" spans="1:93" x14ac:dyDescent="0.3">
      <c r="A742" s="11">
        <v>546</v>
      </c>
      <c r="B742" s="3" t="s">
        <v>2</v>
      </c>
      <c r="C742" s="37">
        <v>54605</v>
      </c>
      <c r="D742" s="37">
        <v>57300</v>
      </c>
      <c r="E742" s="49" t="s">
        <v>118</v>
      </c>
      <c r="F742" s="3" t="s">
        <v>2</v>
      </c>
      <c r="G742" s="3" t="s">
        <v>939</v>
      </c>
      <c r="H742" s="26">
        <v>60</v>
      </c>
      <c r="I742" s="244"/>
      <c r="J742" s="16">
        <f t="shared" si="358"/>
        <v>60</v>
      </c>
      <c r="K742" s="122">
        <f t="shared" si="359"/>
        <v>0</v>
      </c>
      <c r="M742" s="117">
        <v>60</v>
      </c>
      <c r="N742" s="117">
        <v>60</v>
      </c>
      <c r="P742" s="259"/>
      <c r="R742" s="26">
        <v>60</v>
      </c>
      <c r="S742" s="26">
        <v>50</v>
      </c>
      <c r="U742" s="26">
        <v>60</v>
      </c>
      <c r="V742" s="244"/>
      <c r="W742" s="16">
        <f t="shared" si="360"/>
        <v>60</v>
      </c>
      <c r="X742" s="122">
        <f t="shared" si="361"/>
        <v>0</v>
      </c>
      <c r="Z742" s="117">
        <f t="shared" si="362"/>
        <v>60</v>
      </c>
      <c r="AA742" s="117">
        <v>60</v>
      </c>
      <c r="AC742" s="259"/>
      <c r="AE742" s="26">
        <v>60</v>
      </c>
      <c r="AF742" s="200">
        <v>25</v>
      </c>
      <c r="AH742" s="26">
        <v>60</v>
      </c>
      <c r="AI742" s="244"/>
      <c r="AJ742" s="16">
        <f t="shared" si="363"/>
        <v>60</v>
      </c>
      <c r="AK742" s="122">
        <f t="shared" si="364"/>
        <v>0</v>
      </c>
      <c r="AM742" s="117">
        <v>60</v>
      </c>
      <c r="AN742" s="117">
        <v>60</v>
      </c>
      <c r="AP742" s="259"/>
      <c r="AR742" s="26">
        <v>60</v>
      </c>
      <c r="AS742" s="26">
        <v>0</v>
      </c>
      <c r="AU742" s="26">
        <f t="shared" si="365"/>
        <v>60</v>
      </c>
      <c r="AV742" s="244"/>
      <c r="AW742" s="16">
        <f t="shared" si="366"/>
        <v>60</v>
      </c>
      <c r="AX742" s="122">
        <f t="shared" si="367"/>
        <v>0</v>
      </c>
      <c r="AZ742" s="117">
        <v>60</v>
      </c>
      <c r="BA742" s="117">
        <v>60</v>
      </c>
      <c r="BC742" s="259"/>
      <c r="BE742" s="26">
        <v>60</v>
      </c>
      <c r="BF742" s="26">
        <v>0</v>
      </c>
      <c r="BH742" s="26">
        <v>60</v>
      </c>
      <c r="BI742" s="244"/>
      <c r="BJ742" s="16">
        <f>BH742+BI742</f>
        <v>60</v>
      </c>
      <c r="BK742" s="122">
        <f>IF(BH742=0," ",(BJ742-BH742)/BH742)</f>
        <v>0</v>
      </c>
      <c r="BM742" s="117">
        <v>60</v>
      </c>
      <c r="BN742" s="117">
        <v>60</v>
      </c>
      <c r="BP742" s="259"/>
      <c r="BR742" s="117">
        <v>60</v>
      </c>
      <c r="BS742" s="26"/>
      <c r="BU742" s="26">
        <v>60</v>
      </c>
      <c r="BV742" s="244"/>
      <c r="BW742" s="576">
        <f t="shared" si="368"/>
        <v>60</v>
      </c>
      <c r="BX742" s="577">
        <f>IF(BU742=0," ",(BW742-BU742)/BU742)</f>
        <v>0</v>
      </c>
      <c r="BZ742" s="166">
        <v>60</v>
      </c>
      <c r="CA742" s="166">
        <v>60</v>
      </c>
      <c r="CC742" s="753"/>
      <c r="CE742" s="166">
        <v>60</v>
      </c>
      <c r="CF742" s="166"/>
      <c r="CO742" s="16"/>
    </row>
    <row r="743" spans="1:93" x14ac:dyDescent="0.3">
      <c r="A743" s="11">
        <v>546</v>
      </c>
      <c r="B743" s="3" t="s">
        <v>2</v>
      </c>
      <c r="C743" s="37">
        <v>54605</v>
      </c>
      <c r="D743" s="37">
        <v>57700</v>
      </c>
      <c r="E743" s="49" t="s">
        <v>118</v>
      </c>
      <c r="F743" s="3" t="s">
        <v>2</v>
      </c>
      <c r="G743" s="3" t="s">
        <v>211</v>
      </c>
      <c r="H743" s="26">
        <v>8240</v>
      </c>
      <c r="I743" s="244"/>
      <c r="J743" s="16">
        <f t="shared" si="358"/>
        <v>8240</v>
      </c>
      <c r="K743" s="122">
        <f t="shared" si="359"/>
        <v>0</v>
      </c>
      <c r="M743" s="117">
        <v>8240</v>
      </c>
      <c r="N743" s="117">
        <v>8240</v>
      </c>
      <c r="P743" s="259"/>
      <c r="R743" s="26">
        <v>8240</v>
      </c>
      <c r="S743" s="26">
        <v>583</v>
      </c>
      <c r="U743" s="26">
        <v>8240</v>
      </c>
      <c r="V743" s="244"/>
      <c r="W743" s="16">
        <f t="shared" si="360"/>
        <v>8240</v>
      </c>
      <c r="X743" s="122">
        <f t="shared" si="361"/>
        <v>0</v>
      </c>
      <c r="Z743" s="117">
        <f t="shared" si="362"/>
        <v>8240</v>
      </c>
      <c r="AA743" s="117">
        <v>8240</v>
      </c>
      <c r="AC743" s="259"/>
      <c r="AE743" s="26">
        <v>8240</v>
      </c>
      <c r="AF743" s="200">
        <v>1591.8</v>
      </c>
      <c r="AH743" s="26">
        <v>8240</v>
      </c>
      <c r="AI743" s="244"/>
      <c r="AJ743" s="16">
        <f t="shared" si="363"/>
        <v>8240</v>
      </c>
      <c r="AK743" s="122">
        <f t="shared" si="364"/>
        <v>0</v>
      </c>
      <c r="AM743" s="117">
        <v>8240</v>
      </c>
      <c r="AN743" s="117">
        <v>8240</v>
      </c>
      <c r="AP743" s="259"/>
      <c r="AR743" s="26">
        <v>8240</v>
      </c>
      <c r="AS743" s="26">
        <v>0</v>
      </c>
      <c r="AU743" s="26">
        <f t="shared" si="365"/>
        <v>8240</v>
      </c>
      <c r="AV743" s="244"/>
      <c r="AW743" s="16">
        <f t="shared" si="366"/>
        <v>8240</v>
      </c>
      <c r="AX743" s="122">
        <f t="shared" si="367"/>
        <v>0</v>
      </c>
      <c r="AZ743" s="117">
        <v>8240</v>
      </c>
      <c r="BA743" s="117">
        <v>8240</v>
      </c>
      <c r="BC743" s="259"/>
      <c r="BE743" s="26">
        <v>8240</v>
      </c>
      <c r="BF743" s="26">
        <v>0</v>
      </c>
      <c r="BH743" s="26">
        <v>8240</v>
      </c>
      <c r="BI743" s="244"/>
      <c r="BJ743" s="16">
        <f>BH743+BI743</f>
        <v>8240</v>
      </c>
      <c r="BK743" s="122">
        <f>IF(BH743=0," ",(BJ743-BH743)/BH743)</f>
        <v>0</v>
      </c>
      <c r="BM743" s="117">
        <v>8240</v>
      </c>
      <c r="BN743" s="117">
        <v>8240</v>
      </c>
      <c r="BP743" s="259"/>
      <c r="BR743" s="117">
        <v>8240</v>
      </c>
      <c r="BS743" s="26"/>
      <c r="BU743" s="26">
        <v>8240</v>
      </c>
      <c r="BV743" s="244"/>
      <c r="BW743" s="576">
        <f t="shared" si="368"/>
        <v>8240</v>
      </c>
      <c r="BX743" s="577">
        <f>IF(BU743=0," ",(BW743-BU743)/BU743)</f>
        <v>0</v>
      </c>
      <c r="BZ743" s="166">
        <v>8240</v>
      </c>
      <c r="CA743" s="166">
        <v>8240</v>
      </c>
      <c r="CC743" s="753"/>
      <c r="CE743" s="166">
        <v>8240</v>
      </c>
      <c r="CF743" s="166"/>
      <c r="CO743" s="16"/>
    </row>
    <row r="744" spans="1:93" s="19" customFormat="1" x14ac:dyDescent="0.3">
      <c r="A744" s="27"/>
      <c r="B744" s="8"/>
      <c r="C744" s="42"/>
      <c r="D744" s="42"/>
      <c r="E744" s="54"/>
      <c r="F744" s="8"/>
      <c r="G744" s="57" t="s">
        <v>212</v>
      </c>
      <c r="H744" s="28">
        <f t="shared" ref="H744" si="369">SUM(H737:H743)</f>
        <v>20960</v>
      </c>
      <c r="I744" s="28">
        <f>SUM(I737:I743)</f>
        <v>0</v>
      </c>
      <c r="J744" s="28">
        <f>SUM(J737:J743)</f>
        <v>20960</v>
      </c>
      <c r="K744" s="123">
        <f>IF(H744=0," ",(J744-H744)/H744)</f>
        <v>0</v>
      </c>
      <c r="M744" s="28">
        <f>SUM(M737:M743)</f>
        <v>20960</v>
      </c>
      <c r="N744" s="28">
        <f>SUM(N737:N743)</f>
        <v>20960</v>
      </c>
      <c r="P744" s="139">
        <f>SUM(P737:P743)</f>
        <v>0</v>
      </c>
      <c r="R744" s="28">
        <f>SUM(R737:R743)</f>
        <v>20960</v>
      </c>
      <c r="S744" s="28">
        <f>SUM(S737:S743)</f>
        <v>12688.64</v>
      </c>
      <c r="U744" s="28">
        <f>SUM(U737:U743)</f>
        <v>20960</v>
      </c>
      <c r="V744" s="28">
        <f>SUM(V737:V743)</f>
        <v>0</v>
      </c>
      <c r="W744" s="28">
        <f>SUM(W737:W743)</f>
        <v>20960</v>
      </c>
      <c r="X744" s="123">
        <f>IF(U744=0," ",(W744-U744)/U744)</f>
        <v>0</v>
      </c>
      <c r="Z744" s="28">
        <f>SUM(Z737:Z743)</f>
        <v>20960</v>
      </c>
      <c r="AA744" s="28">
        <f>SUM(AA737:AA743)</f>
        <v>20960</v>
      </c>
      <c r="AC744" s="139"/>
      <c r="AE744" s="28">
        <f>SUM(AE737:AE743)</f>
        <v>20960</v>
      </c>
      <c r="AF744" s="201">
        <f>SUM(AF737:AF743)</f>
        <v>15062.109999999999</v>
      </c>
      <c r="AH744" s="28">
        <f>SUM(AH737:AH743)</f>
        <v>20960</v>
      </c>
      <c r="AI744" s="28">
        <f>SUM(AI737:AI743)</f>
        <v>0</v>
      </c>
      <c r="AJ744" s="28">
        <f>SUM(AJ737:AJ743)</f>
        <v>20960</v>
      </c>
      <c r="AK744" s="123">
        <f>IF(AH744=0," ",(AJ744-AH744)/AH744)</f>
        <v>0</v>
      </c>
      <c r="AM744" s="28">
        <f>SUM(AM737:AM743)</f>
        <v>20960</v>
      </c>
      <c r="AN744" s="28">
        <f>SUM(AN737:AN743)</f>
        <v>20960</v>
      </c>
      <c r="AP744" s="139"/>
      <c r="AR744" s="28">
        <f>SUM(AR737:AR743)</f>
        <v>20960</v>
      </c>
      <c r="AS744" s="28">
        <f>SUM(AS737:AS743)</f>
        <v>12000.5</v>
      </c>
      <c r="AU744" s="28">
        <f>SUM(AU737:AU743)</f>
        <v>20960</v>
      </c>
      <c r="AV744" s="28">
        <f>SUM(AV737:AV743)</f>
        <v>0</v>
      </c>
      <c r="AW744" s="28">
        <f>SUM(AW737:AW743)</f>
        <v>20960</v>
      </c>
      <c r="AX744" s="123">
        <f>IF(AU744=0," ",(AW744-AU744)/AU744)</f>
        <v>0</v>
      </c>
      <c r="AZ744" s="28">
        <f>SUM(AZ737:AZ743)</f>
        <v>20960</v>
      </c>
      <c r="BA744" s="28">
        <f>SUM(BA737:BA743)</f>
        <v>20960</v>
      </c>
      <c r="BC744" s="139"/>
      <c r="BE744" s="28">
        <f>SUM(BE737:BE743)</f>
        <v>20960</v>
      </c>
      <c r="BF744" s="28">
        <f>SUM(BF737:BF743)</f>
        <v>12003.31</v>
      </c>
      <c r="BG744" s="9"/>
      <c r="BH744" s="28">
        <f>SUM(BH737:BH743)</f>
        <v>20960</v>
      </c>
      <c r="BI744" s="28">
        <f>SUM(BI737:BI743)</f>
        <v>0</v>
      </c>
      <c r="BJ744" s="28">
        <f>SUM(BJ737:BJ743)</f>
        <v>20960</v>
      </c>
      <c r="BK744" s="123">
        <f>IF(BH744=0," ",(BJ744-BH744)/BH744)</f>
        <v>0</v>
      </c>
      <c r="BM744" s="28">
        <f>SUM(BM737:BM743)</f>
        <v>20960</v>
      </c>
      <c r="BN744" s="28">
        <f>SUM(BN737:BN743)</f>
        <v>20960</v>
      </c>
      <c r="BP744" s="139"/>
      <c r="BR744" s="28">
        <f>SUM(BR737:BR743)</f>
        <v>20960</v>
      </c>
      <c r="BS744" s="28">
        <f>SUM(BS737:BS743)</f>
        <v>5004.5</v>
      </c>
      <c r="BT744" s="9"/>
      <c r="BU744" s="28">
        <f>SUM(BU737:BU743)</f>
        <v>20960</v>
      </c>
      <c r="BV744" s="532">
        <f>SUM(BV737:BV743)</f>
        <v>0</v>
      </c>
      <c r="BW744" s="591">
        <f>SUM(BW737:BW743)</f>
        <v>20960</v>
      </c>
      <c r="BX744" s="579">
        <f>IF(BU744=0," ",(BW744-BU744)/BU744)</f>
        <v>0</v>
      </c>
      <c r="BY744" s="580"/>
      <c r="BZ744" s="591">
        <f>SUM(BZ737:BZ743)</f>
        <v>20960</v>
      </c>
      <c r="CA744" s="591">
        <f>SUM(CA737:CA743)</f>
        <v>20960</v>
      </c>
      <c r="CB744" s="580"/>
      <c r="CC744" s="769"/>
      <c r="CD744" s="580"/>
      <c r="CE744" s="591">
        <f>SUM(CE737:CE743)</f>
        <v>20960</v>
      </c>
      <c r="CF744" s="591">
        <f>SUM(CF737:CF743)</f>
        <v>0</v>
      </c>
      <c r="CG744" s="9"/>
      <c r="CH744" s="815"/>
      <c r="CI744" s="815"/>
      <c r="CJ744" s="887"/>
      <c r="CO744" s="16"/>
    </row>
    <row r="745" spans="1:93" ht="9.9" customHeight="1" x14ac:dyDescent="0.3">
      <c r="AS745" s="16"/>
      <c r="CO745" s="16"/>
    </row>
    <row r="746" spans="1:93" s="1" customFormat="1" x14ac:dyDescent="0.3">
      <c r="A746" s="20"/>
      <c r="B746" s="5"/>
      <c r="C746" s="39"/>
      <c r="D746" s="39"/>
      <c r="E746" s="51"/>
      <c r="F746" s="5"/>
      <c r="G746" s="21" t="s">
        <v>214</v>
      </c>
      <c r="H746" s="22">
        <f t="shared" ref="H746" si="370">H744</f>
        <v>20960</v>
      </c>
      <c r="I746" s="22">
        <f>I744</f>
        <v>0</v>
      </c>
      <c r="J746" s="22">
        <f>J744</f>
        <v>20960</v>
      </c>
      <c r="K746" s="124">
        <f>IF(H746=0," ",(J746-H746)/H746)</f>
        <v>0</v>
      </c>
      <c r="M746" s="22">
        <f>M744</f>
        <v>20960</v>
      </c>
      <c r="N746" s="22">
        <f>N744</f>
        <v>20960</v>
      </c>
      <c r="P746" s="136">
        <f>P744</f>
        <v>0</v>
      </c>
      <c r="R746" s="22">
        <f>R744</f>
        <v>20960</v>
      </c>
      <c r="S746" s="22">
        <f>S744</f>
        <v>12688.64</v>
      </c>
      <c r="U746" s="22">
        <f>U744</f>
        <v>20960</v>
      </c>
      <c r="V746" s="22">
        <f>V744</f>
        <v>0</v>
      </c>
      <c r="W746" s="22">
        <f>W744</f>
        <v>20960</v>
      </c>
      <c r="X746" s="124">
        <f>IF(U746=0," ",(W746-U746)/U746)</f>
        <v>0</v>
      </c>
      <c r="Z746" s="22">
        <f>Z744</f>
        <v>20960</v>
      </c>
      <c r="AA746" s="22">
        <f>AA744</f>
        <v>20960</v>
      </c>
      <c r="AC746" s="136"/>
      <c r="AE746" s="22">
        <f>AE744</f>
        <v>20960</v>
      </c>
      <c r="AF746" s="199">
        <f>AF744</f>
        <v>15062.109999999999</v>
      </c>
      <c r="AH746" s="22">
        <v>20960</v>
      </c>
      <c r="AI746" s="22">
        <f>AI744</f>
        <v>0</v>
      </c>
      <c r="AJ746" s="22">
        <f>AJ744</f>
        <v>20960</v>
      </c>
      <c r="AK746" s="124">
        <f>IF(AH746=0," ",(AJ746-AH746)/AH746)</f>
        <v>0</v>
      </c>
      <c r="AM746" s="22">
        <f>AM744</f>
        <v>20960</v>
      </c>
      <c r="AN746" s="22">
        <f>AN744</f>
        <v>20960</v>
      </c>
      <c r="AP746" s="136"/>
      <c r="AR746" s="22">
        <f>AR744</f>
        <v>20960</v>
      </c>
      <c r="AS746" s="22">
        <f>AS744</f>
        <v>12000.5</v>
      </c>
      <c r="AU746" s="22">
        <f>AU744</f>
        <v>20960</v>
      </c>
      <c r="AV746" s="22">
        <f>AV744</f>
        <v>0</v>
      </c>
      <c r="AW746" s="22">
        <f>AW744</f>
        <v>20960</v>
      </c>
      <c r="AX746" s="124">
        <f>IF(AU746=0," ",(AW746-AU746)/AU746)</f>
        <v>0</v>
      </c>
      <c r="AZ746" s="22">
        <f>AZ744</f>
        <v>20960</v>
      </c>
      <c r="BA746" s="22">
        <f>BA744</f>
        <v>20960</v>
      </c>
      <c r="BC746" s="136"/>
      <c r="BE746" s="22">
        <f>BE744</f>
        <v>20960</v>
      </c>
      <c r="BF746" s="22">
        <f>BF744</f>
        <v>12003.31</v>
      </c>
      <c r="BH746" s="22">
        <f>BH744</f>
        <v>20960</v>
      </c>
      <c r="BI746" s="22">
        <f>BI744</f>
        <v>0</v>
      </c>
      <c r="BJ746" s="22">
        <f>BJ744</f>
        <v>20960</v>
      </c>
      <c r="BK746" s="124">
        <f>IF(BH746=0," ",(BJ746-BH746)/BH746)</f>
        <v>0</v>
      </c>
      <c r="BM746" s="22">
        <f>BM744</f>
        <v>20960</v>
      </c>
      <c r="BN746" s="22">
        <f>BN744</f>
        <v>20960</v>
      </c>
      <c r="BP746" s="136"/>
      <c r="BR746" s="22">
        <f>BR744</f>
        <v>20960</v>
      </c>
      <c r="BS746" s="22">
        <f>BS744</f>
        <v>5004.5</v>
      </c>
      <c r="BU746" s="22">
        <f>BU744</f>
        <v>20960</v>
      </c>
      <c r="BV746" s="531">
        <f>BV744</f>
        <v>0</v>
      </c>
      <c r="BW746" s="581">
        <f>BW744</f>
        <v>20960</v>
      </c>
      <c r="BX746" s="582">
        <f>IF(BU746=0," ",(BW746-BU746)/BU746)</f>
        <v>0</v>
      </c>
      <c r="BY746" s="573"/>
      <c r="BZ746" s="581">
        <f>BZ744</f>
        <v>20960</v>
      </c>
      <c r="CA746" s="581">
        <f>CA744</f>
        <v>20960</v>
      </c>
      <c r="CB746" s="573"/>
      <c r="CC746" s="764"/>
      <c r="CD746" s="573"/>
      <c r="CE746" s="581">
        <f>CE744</f>
        <v>20960</v>
      </c>
      <c r="CF746" s="581">
        <f>CF744</f>
        <v>0</v>
      </c>
      <c r="CH746" s="812"/>
      <c r="CI746" s="812"/>
      <c r="CJ746" s="887"/>
      <c r="CO746" s="16"/>
    </row>
    <row r="747" spans="1:93" ht="20.100000000000001" customHeight="1" x14ac:dyDescent="0.3">
      <c r="AS747" s="16"/>
      <c r="CO747" s="16"/>
    </row>
    <row r="748" spans="1:93" s="1" customFormat="1" ht="15.6" x14ac:dyDescent="0.3">
      <c r="A748" s="14" t="s">
        <v>215</v>
      </c>
      <c r="B748" s="2"/>
      <c r="C748" s="36"/>
      <c r="D748" s="36"/>
      <c r="E748" s="48"/>
      <c r="F748" s="2"/>
      <c r="G748" s="2"/>
      <c r="H748" s="15"/>
      <c r="I748" s="15"/>
      <c r="J748" s="15"/>
      <c r="K748" s="121"/>
      <c r="M748" s="15"/>
      <c r="N748" s="15"/>
      <c r="P748" s="133"/>
      <c r="R748" s="15"/>
      <c r="S748" s="15"/>
      <c r="U748" s="15"/>
      <c r="V748" s="15"/>
      <c r="W748" s="15"/>
      <c r="X748" s="121"/>
      <c r="Z748" s="15"/>
      <c r="AA748" s="15"/>
      <c r="AC748" s="133"/>
      <c r="AE748" s="15"/>
      <c r="AF748" s="196"/>
      <c r="AH748" s="15"/>
      <c r="AI748" s="15"/>
      <c r="AJ748" s="15"/>
      <c r="AK748" s="121"/>
      <c r="AM748" s="15"/>
      <c r="AN748" s="15"/>
      <c r="AP748" s="133"/>
      <c r="AR748" s="15"/>
      <c r="AS748" s="15"/>
      <c r="AU748" s="15"/>
      <c r="AV748" s="15"/>
      <c r="AW748" s="15"/>
      <c r="AX748" s="121"/>
      <c r="AZ748" s="15"/>
      <c r="BA748" s="15"/>
      <c r="BC748" s="133"/>
      <c r="BE748" s="15"/>
      <c r="BF748" s="15"/>
      <c r="BH748" s="15"/>
      <c r="BI748" s="15"/>
      <c r="BJ748" s="15"/>
      <c r="BK748" s="121"/>
      <c r="BM748" s="15"/>
      <c r="BN748" s="15"/>
      <c r="BP748" s="234"/>
      <c r="BR748" s="15"/>
      <c r="BS748" s="15"/>
      <c r="BU748" s="15"/>
      <c r="BV748" s="529"/>
      <c r="BW748" s="574"/>
      <c r="BX748" s="575"/>
      <c r="BY748" s="573"/>
      <c r="BZ748" s="574"/>
      <c r="CA748" s="574"/>
      <c r="CB748" s="573"/>
      <c r="CC748" s="761"/>
      <c r="CD748" s="573"/>
      <c r="CE748" s="574"/>
      <c r="CF748" s="574"/>
      <c r="CH748" s="812"/>
      <c r="CI748" s="812"/>
      <c r="CJ748" s="887"/>
      <c r="CO748" s="16"/>
    </row>
    <row r="749" spans="1:93" x14ac:dyDescent="0.3">
      <c r="A749" s="11">
        <v>548</v>
      </c>
      <c r="B749" s="3" t="s">
        <v>2</v>
      </c>
      <c r="C749" s="37">
        <v>54805</v>
      </c>
      <c r="D749" s="37">
        <v>57800</v>
      </c>
      <c r="E749" s="49" t="s">
        <v>118</v>
      </c>
      <c r="F749" s="3" t="s">
        <v>2</v>
      </c>
      <c r="G749" s="3" t="s">
        <v>10</v>
      </c>
      <c r="H749" s="26">
        <v>1000</v>
      </c>
      <c r="I749" s="244"/>
      <c r="J749" s="16">
        <f>H749+I749</f>
        <v>1000</v>
      </c>
      <c r="K749" s="122">
        <f>IF(H749=0," ",(J749-H749)/H749)</f>
        <v>0</v>
      </c>
      <c r="M749" s="117">
        <v>1000</v>
      </c>
      <c r="N749" s="117">
        <v>1000</v>
      </c>
      <c r="P749" s="259" t="s">
        <v>564</v>
      </c>
      <c r="R749" s="26">
        <v>1000</v>
      </c>
      <c r="S749" s="26">
        <v>996.28</v>
      </c>
      <c r="U749" s="26">
        <v>1000</v>
      </c>
      <c r="V749" s="244"/>
      <c r="W749" s="16">
        <f>U749+V749</f>
        <v>1000</v>
      </c>
      <c r="X749" s="122">
        <f>IF(U749=0," ",(W749-U749)/U749)</f>
        <v>0</v>
      </c>
      <c r="Z749" s="117">
        <f>W749</f>
        <v>1000</v>
      </c>
      <c r="AA749" s="117">
        <v>1000</v>
      </c>
      <c r="AC749" s="259"/>
      <c r="AE749" s="26">
        <v>1000</v>
      </c>
      <c r="AF749" s="200">
        <v>900.22</v>
      </c>
      <c r="AH749" s="26">
        <v>1000</v>
      </c>
      <c r="AI749" s="244"/>
      <c r="AJ749" s="16">
        <f>AH749+AI749</f>
        <v>1000</v>
      </c>
      <c r="AK749" s="122">
        <f>IF(AH749=0," ",(AJ749-AH749)/AH749)</f>
        <v>0</v>
      </c>
      <c r="AM749" s="117">
        <v>1000</v>
      </c>
      <c r="AN749" s="117">
        <v>1000</v>
      </c>
      <c r="AP749" s="259"/>
      <c r="AR749" s="26">
        <v>1000</v>
      </c>
      <c r="AS749" s="26">
        <v>970</v>
      </c>
      <c r="AU749" s="26">
        <f>AR749</f>
        <v>1000</v>
      </c>
      <c r="AV749" s="244"/>
      <c r="AW749" s="16">
        <f>AU749+AV749</f>
        <v>1000</v>
      </c>
      <c r="AX749" s="122">
        <f>IF(AU749=0," ",(AW749-AU749)/AU749)</f>
        <v>0</v>
      </c>
      <c r="AZ749" s="117">
        <v>1000</v>
      </c>
      <c r="BA749" s="117">
        <v>1000</v>
      </c>
      <c r="BC749" s="259"/>
      <c r="BE749" s="26">
        <v>1000</v>
      </c>
      <c r="BF749" s="26">
        <v>0</v>
      </c>
      <c r="BH749" s="26">
        <v>1000</v>
      </c>
      <c r="BI749" s="244"/>
      <c r="BJ749" s="16">
        <f>BH749+BI749</f>
        <v>1000</v>
      </c>
      <c r="BK749" s="122">
        <f>IF(BH749=0," ",(BJ749-BH749)/BH749)</f>
        <v>0</v>
      </c>
      <c r="BM749" s="117">
        <v>1000</v>
      </c>
      <c r="BN749" s="117">
        <v>1000</v>
      </c>
      <c r="BP749" s="259"/>
      <c r="BR749" s="117">
        <v>1000</v>
      </c>
      <c r="BS749" s="26"/>
      <c r="BU749" s="26">
        <v>1000</v>
      </c>
      <c r="BV749" s="244"/>
      <c r="BW749" s="576">
        <f>BU749+BV749</f>
        <v>1000</v>
      </c>
      <c r="BX749" s="577">
        <f>IF(BU749=0," ",(BW749-BU749)/BU749)</f>
        <v>0</v>
      </c>
      <c r="BZ749" s="166">
        <v>1000</v>
      </c>
      <c r="CA749" s="166">
        <v>1000</v>
      </c>
      <c r="CC749" s="753"/>
      <c r="CE749" s="166">
        <v>1000</v>
      </c>
      <c r="CF749" s="166"/>
      <c r="CO749" s="16"/>
    </row>
    <row r="750" spans="1:93" s="19" customFormat="1" x14ac:dyDescent="0.3">
      <c r="A750" s="27"/>
      <c r="B750" s="8"/>
      <c r="C750" s="42"/>
      <c r="D750" s="42"/>
      <c r="E750" s="54"/>
      <c r="F750" s="8"/>
      <c r="G750" s="57" t="s">
        <v>216</v>
      </c>
      <c r="H750" s="28">
        <f t="shared" ref="H750" si="371">SUM(H749)</f>
        <v>1000</v>
      </c>
      <c r="I750" s="28">
        <f>SUM(I749)</f>
        <v>0</v>
      </c>
      <c r="J750" s="28">
        <f>SUM(J749)</f>
        <v>1000</v>
      </c>
      <c r="K750" s="123">
        <f>IF(H750=0," ",(J750-H750)/H750)</f>
        <v>0</v>
      </c>
      <c r="M750" s="28">
        <f>SUM(M749)</f>
        <v>1000</v>
      </c>
      <c r="N750" s="28">
        <f>SUM(N749)</f>
        <v>1000</v>
      </c>
      <c r="P750" s="139">
        <f>SUM(P749)</f>
        <v>0</v>
      </c>
      <c r="R750" s="28">
        <f>SUM(R749)</f>
        <v>1000</v>
      </c>
      <c r="S750" s="28">
        <f>SUM(S749)</f>
        <v>996.28</v>
      </c>
      <c r="U750" s="28">
        <f>SUM(U749)</f>
        <v>1000</v>
      </c>
      <c r="V750" s="28">
        <f>SUM(V749)</f>
        <v>0</v>
      </c>
      <c r="W750" s="28">
        <f>SUM(W749)</f>
        <v>1000</v>
      </c>
      <c r="X750" s="123">
        <f>IF(U750=0," ",(W750-U750)/U750)</f>
        <v>0</v>
      </c>
      <c r="Z750" s="28">
        <f>SUM(Z749)</f>
        <v>1000</v>
      </c>
      <c r="AA750" s="28">
        <f>SUM(AA749)</f>
        <v>1000</v>
      </c>
      <c r="AC750" s="139"/>
      <c r="AE750" s="28">
        <f>SUM(AE749)</f>
        <v>1000</v>
      </c>
      <c r="AF750" s="201">
        <f>SUM(AF749)</f>
        <v>900.22</v>
      </c>
      <c r="AH750" s="28">
        <v>1000</v>
      </c>
      <c r="AI750" s="28">
        <f>SUM(AI749)</f>
        <v>0</v>
      </c>
      <c r="AJ750" s="28">
        <f>SUM(AJ749)</f>
        <v>1000</v>
      </c>
      <c r="AK750" s="123">
        <f>IF(AH750=0," ",(AJ750-AH750)/AH750)</f>
        <v>0</v>
      </c>
      <c r="AM750" s="28">
        <f>SUM(AM749)</f>
        <v>1000</v>
      </c>
      <c r="AN750" s="28">
        <f>SUM(AN749)</f>
        <v>1000</v>
      </c>
      <c r="AP750" s="139"/>
      <c r="AR750" s="28">
        <f>SUM(AR749)</f>
        <v>1000</v>
      </c>
      <c r="AS750" s="28">
        <f>SUM(AS749)</f>
        <v>970</v>
      </c>
      <c r="AU750" s="28">
        <f>SUM(AU749)</f>
        <v>1000</v>
      </c>
      <c r="AV750" s="28">
        <f>SUM(AV749)</f>
        <v>0</v>
      </c>
      <c r="AW750" s="28">
        <f>SUM(AW749)</f>
        <v>1000</v>
      </c>
      <c r="AX750" s="123">
        <f>IF(AU750=0," ",(AW750-AU750)/AU750)</f>
        <v>0</v>
      </c>
      <c r="AZ750" s="28">
        <f>SUM(AZ749)</f>
        <v>1000</v>
      </c>
      <c r="BA750" s="28">
        <f>SUM(BA749)</f>
        <v>1000</v>
      </c>
      <c r="BC750" s="139"/>
      <c r="BE750" s="28">
        <f>SUM(BE749)</f>
        <v>1000</v>
      </c>
      <c r="BF750" s="28">
        <f>SUM(BF749)</f>
        <v>0</v>
      </c>
      <c r="BG750" s="9"/>
      <c r="BH750" s="28">
        <f>SUM(BH749)</f>
        <v>1000</v>
      </c>
      <c r="BI750" s="28">
        <f>SUM(BI749)</f>
        <v>0</v>
      </c>
      <c r="BJ750" s="28">
        <f>SUM(BJ749)</f>
        <v>1000</v>
      </c>
      <c r="BK750" s="123">
        <f>IF(BH750=0," ",(BJ750-BH750)/BH750)</f>
        <v>0</v>
      </c>
      <c r="BM750" s="28">
        <f>SUM(BM749)</f>
        <v>1000</v>
      </c>
      <c r="BN750" s="28">
        <f>SUM(BN749)</f>
        <v>1000</v>
      </c>
      <c r="BP750" s="139"/>
      <c r="BR750" s="28">
        <f>SUM(BR749)</f>
        <v>1000</v>
      </c>
      <c r="BS750" s="28">
        <f>SUM(BS749)</f>
        <v>0</v>
      </c>
      <c r="BT750" s="9"/>
      <c r="BU750" s="28">
        <f>SUM(BU749)</f>
        <v>1000</v>
      </c>
      <c r="BV750" s="532">
        <f>SUM(BV749)</f>
        <v>0</v>
      </c>
      <c r="BW750" s="591">
        <f>SUM(BW749)</f>
        <v>1000</v>
      </c>
      <c r="BX750" s="579">
        <f>IF(BU750=0," ",(BW750-BU750)/BU750)</f>
        <v>0</v>
      </c>
      <c r="BY750" s="580"/>
      <c r="BZ750" s="591">
        <f>SUM(BZ749)</f>
        <v>1000</v>
      </c>
      <c r="CA750" s="591">
        <f>SUM(CA749)</f>
        <v>1000</v>
      </c>
      <c r="CB750" s="580"/>
      <c r="CC750" s="769"/>
      <c r="CD750" s="580"/>
      <c r="CE750" s="591">
        <f>SUM(CE749)</f>
        <v>1000</v>
      </c>
      <c r="CF750" s="591">
        <f>SUM(CF749)</f>
        <v>0</v>
      </c>
      <c r="CG750" s="9"/>
      <c r="CH750" s="815"/>
      <c r="CI750" s="815"/>
      <c r="CJ750" s="887"/>
      <c r="CO750" s="16"/>
    </row>
    <row r="751" spans="1:93" ht="9.9" customHeight="1" x14ac:dyDescent="0.3">
      <c r="AS751" s="16"/>
      <c r="CO751" s="16"/>
    </row>
    <row r="752" spans="1:93" s="1" customFormat="1" x14ac:dyDescent="0.3">
      <c r="A752" s="20"/>
      <c r="B752" s="5"/>
      <c r="C752" s="39"/>
      <c r="D752" s="39"/>
      <c r="E752" s="51"/>
      <c r="F752" s="5"/>
      <c r="G752" s="21" t="s">
        <v>217</v>
      </c>
      <c r="H752" s="22">
        <f t="shared" ref="H752" si="372">H750</f>
        <v>1000</v>
      </c>
      <c r="I752" s="22">
        <f>I750</f>
        <v>0</v>
      </c>
      <c r="J752" s="22">
        <f>J750</f>
        <v>1000</v>
      </c>
      <c r="K752" s="124">
        <f>IF(H752=0," ",(J752-H752)/H752)</f>
        <v>0</v>
      </c>
      <c r="M752" s="22">
        <f>M750</f>
        <v>1000</v>
      </c>
      <c r="N752" s="22">
        <f>N750</f>
        <v>1000</v>
      </c>
      <c r="P752" s="136">
        <f>P750</f>
        <v>0</v>
      </c>
      <c r="R752" s="22">
        <f>R750</f>
        <v>1000</v>
      </c>
      <c r="S752" s="22">
        <f>S750</f>
        <v>996.28</v>
      </c>
      <c r="U752" s="22">
        <f>U750</f>
        <v>1000</v>
      </c>
      <c r="V752" s="22">
        <f>V750</f>
        <v>0</v>
      </c>
      <c r="W752" s="22">
        <f>W750</f>
        <v>1000</v>
      </c>
      <c r="X752" s="124">
        <f>IF(U752=0," ",(W752-U752)/U752)</f>
        <v>0</v>
      </c>
      <c r="Z752" s="22">
        <f>Z750</f>
        <v>1000</v>
      </c>
      <c r="AA752" s="22">
        <f>AA750</f>
        <v>1000</v>
      </c>
      <c r="AC752" s="136"/>
      <c r="AE752" s="22">
        <f>AE750</f>
        <v>1000</v>
      </c>
      <c r="AF752" s="199">
        <f>AF750</f>
        <v>900.22</v>
      </c>
      <c r="AH752" s="22">
        <v>1000</v>
      </c>
      <c r="AI752" s="22">
        <f>AI750</f>
        <v>0</v>
      </c>
      <c r="AJ752" s="22">
        <f>AJ750</f>
        <v>1000</v>
      </c>
      <c r="AK752" s="124">
        <f>IF(AH752=0," ",(AJ752-AH752)/AH752)</f>
        <v>0</v>
      </c>
      <c r="AM752" s="22">
        <f>AM750</f>
        <v>1000</v>
      </c>
      <c r="AN752" s="22">
        <f>AN750</f>
        <v>1000</v>
      </c>
      <c r="AP752" s="136"/>
      <c r="AR752" s="22">
        <f>AR750</f>
        <v>1000</v>
      </c>
      <c r="AS752" s="22">
        <f>AS750</f>
        <v>970</v>
      </c>
      <c r="AU752" s="22">
        <f>AU750</f>
        <v>1000</v>
      </c>
      <c r="AV752" s="22">
        <f>AV750</f>
        <v>0</v>
      </c>
      <c r="AW752" s="22">
        <f>AW750</f>
        <v>1000</v>
      </c>
      <c r="AX752" s="124">
        <f>IF(AU752=0," ",(AW752-AU752)/AU752)</f>
        <v>0</v>
      </c>
      <c r="AZ752" s="22">
        <f>AZ750</f>
        <v>1000</v>
      </c>
      <c r="BA752" s="22">
        <f>BA750</f>
        <v>1000</v>
      </c>
      <c r="BC752" s="136"/>
      <c r="BE752" s="22">
        <f>BE750</f>
        <v>1000</v>
      </c>
      <c r="BF752" s="22">
        <f>BF750</f>
        <v>0</v>
      </c>
      <c r="BH752" s="22">
        <f>BH750</f>
        <v>1000</v>
      </c>
      <c r="BI752" s="22">
        <f>BI750</f>
        <v>0</v>
      </c>
      <c r="BJ752" s="22">
        <f>BJ750</f>
        <v>1000</v>
      </c>
      <c r="BK752" s="124">
        <f>IF(BH752=0," ",(BJ752-BH752)/BH752)</f>
        <v>0</v>
      </c>
      <c r="BM752" s="22">
        <f>BM750</f>
        <v>1000</v>
      </c>
      <c r="BN752" s="22">
        <f>BN750</f>
        <v>1000</v>
      </c>
      <c r="BP752" s="136"/>
      <c r="BR752" s="22">
        <f>BR750</f>
        <v>1000</v>
      </c>
      <c r="BS752" s="22">
        <f>BS750</f>
        <v>0</v>
      </c>
      <c r="BU752" s="22">
        <f>BU750</f>
        <v>1000</v>
      </c>
      <c r="BV752" s="531">
        <f>BV750</f>
        <v>0</v>
      </c>
      <c r="BW752" s="581">
        <f>BW750</f>
        <v>1000</v>
      </c>
      <c r="BX752" s="582">
        <f>IF(BU752=0," ",(BW752-BU752)/BU752)</f>
        <v>0</v>
      </c>
      <c r="BY752" s="573"/>
      <c r="BZ752" s="581">
        <f>BZ750</f>
        <v>1000</v>
      </c>
      <c r="CA752" s="581">
        <f>CA750</f>
        <v>1000</v>
      </c>
      <c r="CB752" s="573"/>
      <c r="CC752" s="764"/>
      <c r="CD752" s="573"/>
      <c r="CE752" s="581">
        <f>CE750</f>
        <v>1000</v>
      </c>
      <c r="CF752" s="581">
        <f>CF750</f>
        <v>0</v>
      </c>
      <c r="CH752" s="812"/>
      <c r="CI752" s="812"/>
      <c r="CJ752" s="887"/>
      <c r="CO752" s="16"/>
    </row>
    <row r="753" spans="1:93" ht="20.100000000000001" customHeight="1" x14ac:dyDescent="0.3">
      <c r="AS753" s="16"/>
      <c r="CO753" s="16"/>
    </row>
    <row r="754" spans="1:93" s="1" customFormat="1" ht="20.100000000000001" customHeight="1" x14ac:dyDescent="0.3">
      <c r="A754" s="58" t="s">
        <v>345</v>
      </c>
      <c r="B754" s="59"/>
      <c r="C754" s="60"/>
      <c r="D754" s="60"/>
      <c r="E754" s="61"/>
      <c r="F754" s="59"/>
      <c r="G754" s="59"/>
      <c r="H754" s="62">
        <f>H752+H746+H734+H710</f>
        <v>242836</v>
      </c>
      <c r="I754" s="62">
        <f>I752+I746+I734+I710</f>
        <v>3514.13</v>
      </c>
      <c r="J754" s="62">
        <f>J752+J746+J734+J710</f>
        <v>246350.13</v>
      </c>
      <c r="K754" s="120">
        <f>IF(H754=0," ",(J754-H754)/H754)</f>
        <v>1.4471206905071754E-2</v>
      </c>
      <c r="M754" s="62">
        <f>M752+M746+M734+M710</f>
        <v>246337</v>
      </c>
      <c r="N754" s="62">
        <f>N752+N746+N734+N710</f>
        <v>255286</v>
      </c>
      <c r="P754" s="132"/>
      <c r="R754" s="62">
        <f>R752+R746+R734+R710</f>
        <v>255286</v>
      </c>
      <c r="S754" s="62">
        <f>S752+S746+S734+S710</f>
        <v>239794.81</v>
      </c>
      <c r="U754" s="62">
        <f>U752+U746+U734+U710</f>
        <v>255286</v>
      </c>
      <c r="V754" s="62">
        <f>V752+V746+V734+V710</f>
        <v>7700</v>
      </c>
      <c r="W754" s="62">
        <f>W752+W746+W734+W710</f>
        <v>263376</v>
      </c>
      <c r="X754" s="120">
        <f>IF(U754=0," ",(W754-U754)/U754)</f>
        <v>3.1689947744882208E-2</v>
      </c>
      <c r="Z754" s="62">
        <f>Z752+Z746+Z734+Z710</f>
        <v>263376</v>
      </c>
      <c r="AA754" s="62">
        <f>AA752+AA746+AA734+AA710</f>
        <v>263776</v>
      </c>
      <c r="AC754" s="132"/>
      <c r="AE754" s="62">
        <f>AE752+AE746+AE734+AE710</f>
        <v>263776</v>
      </c>
      <c r="AF754" s="62">
        <f>AF752+AF746+AF734+AF710</f>
        <v>243523.86</v>
      </c>
      <c r="AH754" s="62">
        <f>AH752+AH746+AH734+AH710</f>
        <v>263776</v>
      </c>
      <c r="AI754" s="62">
        <f>AI752+AI746+AI734+AI710</f>
        <v>11064</v>
      </c>
      <c r="AJ754" s="62">
        <f>AJ752+AJ746+AJ734+AJ710</f>
        <v>274840</v>
      </c>
      <c r="AK754" s="120">
        <f>IF(AH754=0," ",(AJ754-AH754)/AH754)</f>
        <v>4.1944680334829551E-2</v>
      </c>
      <c r="AM754" s="62">
        <f>AM752+AM746+AM734+AM710</f>
        <v>280180</v>
      </c>
      <c r="AN754" s="62">
        <f>AN752+AN746+AN734+AN710</f>
        <v>280180</v>
      </c>
      <c r="AP754" s="132"/>
      <c r="AR754" s="62">
        <f>AR752+AR746+AR734+AR710</f>
        <v>280180</v>
      </c>
      <c r="AS754" s="62">
        <f>AS752+AS746+AS734+AS710</f>
        <v>247915.69</v>
      </c>
      <c r="AU754" s="62">
        <f>AU752+AU746+AU734+AU710</f>
        <v>280180</v>
      </c>
      <c r="AV754" s="62">
        <f>AV752+AV746+AV734+AV710</f>
        <v>205</v>
      </c>
      <c r="AW754" s="62">
        <f>AW752+AW746+AW734+AW710</f>
        <v>280385</v>
      </c>
      <c r="AX754" s="120">
        <f>IF(AU754=0," ",(AW754-AU754)/AU754)</f>
        <v>7.3167249625240912E-4</v>
      </c>
      <c r="AZ754" s="62">
        <f>AZ752+AZ746+AZ734+AZ710</f>
        <v>276580</v>
      </c>
      <c r="BA754" s="62">
        <f>BA752+BA746+BA734+BA710</f>
        <v>278498</v>
      </c>
      <c r="BC754" s="132"/>
      <c r="BE754" s="62">
        <f>BE752+BE746+BE734+BE710</f>
        <v>278498</v>
      </c>
      <c r="BF754" s="62">
        <f>BF752+BF746+BF734+BF710</f>
        <v>233040.53999999998</v>
      </c>
      <c r="BH754" s="62">
        <f>BH752+BH746+BH734+BH710</f>
        <v>278498</v>
      </c>
      <c r="BI754" s="62">
        <f>BI752+BI746+BI734+BI710</f>
        <v>2565</v>
      </c>
      <c r="BJ754" s="62">
        <f>BJ752+BJ746+BJ734+BJ710</f>
        <v>281063</v>
      </c>
      <c r="BK754" s="120">
        <f>IF(BH754=0," ",(BJ754-BH754)/BH754)</f>
        <v>9.210120000861766E-3</v>
      </c>
      <c r="BM754" s="62">
        <f>BM752+BM746+BM734+BM710</f>
        <v>281063</v>
      </c>
      <c r="BN754" s="62">
        <f>BN752+BN746+BN734+BN710</f>
        <v>293530</v>
      </c>
      <c r="BP754" s="398"/>
      <c r="BR754" s="62">
        <f>BR752+BR746+BR734+BR710</f>
        <v>294530</v>
      </c>
      <c r="BS754" s="62">
        <f>BS752+BS746+BS734+BS710</f>
        <v>118076.59999999998</v>
      </c>
      <c r="BU754" s="62">
        <f>BU752+BU746+BU734+BU710</f>
        <v>294530</v>
      </c>
      <c r="BV754" s="62">
        <f>BV752+BV746+BV734+BV710</f>
        <v>4912</v>
      </c>
      <c r="BW754" s="62">
        <f>BW752+BW746+BW734+BW710</f>
        <v>299442</v>
      </c>
      <c r="BX754" s="120">
        <f>IF(BU754=0," ",(BW754-BU754)/BU754)</f>
        <v>1.6677418259600042E-2</v>
      </c>
      <c r="BY754" s="573"/>
      <c r="BZ754" s="62">
        <f>BZ752+BZ746+BZ734+BZ710</f>
        <v>299442</v>
      </c>
      <c r="CA754" s="62">
        <f>CA752+CA746+CA734+CA710</f>
        <v>299442</v>
      </c>
      <c r="CB754" s="573"/>
      <c r="CC754" s="760"/>
      <c r="CD754" s="573"/>
      <c r="CE754" s="62">
        <f>CE752+CE746+CE734+CE710</f>
        <v>299442</v>
      </c>
      <c r="CF754" s="62">
        <f>CF752+CF746+CF734+CF710</f>
        <v>0</v>
      </c>
      <c r="CH754" s="812"/>
      <c r="CI754" s="917">
        <v>299442</v>
      </c>
      <c r="CJ754" s="899">
        <v>44634</v>
      </c>
      <c r="CK754" s="900" t="s">
        <v>1623</v>
      </c>
      <c r="CL754" s="900" t="s">
        <v>1620</v>
      </c>
      <c r="CM754" s="1" t="s">
        <v>1627</v>
      </c>
      <c r="CO754" s="16"/>
    </row>
    <row r="755" spans="1:93" s="1" customFormat="1" ht="9.9" customHeight="1" x14ac:dyDescent="0.3">
      <c r="A755" s="33"/>
      <c r="B755" s="10"/>
      <c r="C755" s="44"/>
      <c r="D755" s="44"/>
      <c r="E755" s="55"/>
      <c r="F755" s="10"/>
      <c r="G755" s="10"/>
      <c r="H755" s="34"/>
      <c r="I755" s="34"/>
      <c r="J755" s="34"/>
      <c r="K755" s="129"/>
      <c r="M755" s="188"/>
      <c r="N755" s="188"/>
      <c r="P755" s="142"/>
      <c r="R755" s="188"/>
      <c r="S755" s="188"/>
      <c r="U755" s="188"/>
      <c r="V755" s="34"/>
      <c r="W755" s="34"/>
      <c r="X755" s="129"/>
      <c r="Z755" s="188"/>
      <c r="AA755" s="188"/>
      <c r="AC755" s="142"/>
      <c r="AE755" s="188"/>
      <c r="AF755" s="277"/>
      <c r="AH755" s="188"/>
      <c r="AI755" s="34"/>
      <c r="AJ755" s="34"/>
      <c r="AK755" s="129"/>
      <c r="AM755" s="188"/>
      <c r="AN755" s="188"/>
      <c r="AP755" s="142"/>
      <c r="AR755" s="188"/>
      <c r="AS755" s="188"/>
      <c r="AU755" s="188"/>
      <c r="AV755" s="34"/>
      <c r="AW755" s="34"/>
      <c r="AX755" s="129"/>
      <c r="AZ755" s="188"/>
      <c r="BA755" s="188"/>
      <c r="BC755" s="142"/>
      <c r="BE755" s="188"/>
      <c r="BF755" s="188"/>
      <c r="BH755" s="188"/>
      <c r="BI755" s="34"/>
      <c r="BJ755" s="34"/>
      <c r="BK755" s="129"/>
      <c r="BM755" s="188"/>
      <c r="BN755" s="188"/>
      <c r="BP755" s="140"/>
      <c r="BR755" s="188"/>
      <c r="BS755" s="188"/>
      <c r="BU755" s="188"/>
      <c r="BV755" s="534"/>
      <c r="BW755" s="305"/>
      <c r="BX755" s="593"/>
      <c r="BY755" s="573"/>
      <c r="BZ755" s="305"/>
      <c r="CA755" s="305"/>
      <c r="CB755" s="573"/>
      <c r="CC755" s="752"/>
      <c r="CD755" s="573"/>
      <c r="CE755" s="305"/>
      <c r="CF755" s="305"/>
      <c r="CH755" s="812"/>
      <c r="CI755" s="812"/>
      <c r="CJ755" s="886"/>
      <c r="CO755" s="16"/>
    </row>
    <row r="756" spans="1:93" s="1" customFormat="1" ht="9.9" customHeight="1" x14ac:dyDescent="0.3">
      <c r="A756" s="33"/>
      <c r="B756" s="10"/>
      <c r="C756" s="44"/>
      <c r="D756" s="44"/>
      <c r="E756" s="55"/>
      <c r="F756" s="10"/>
      <c r="G756" s="10"/>
      <c r="H756" s="34"/>
      <c r="I756" s="34"/>
      <c r="J756" s="34"/>
      <c r="K756" s="129"/>
      <c r="M756" s="34"/>
      <c r="N756" s="188"/>
      <c r="P756" s="142"/>
      <c r="R756" s="188"/>
      <c r="S756" s="188"/>
      <c r="U756" s="188"/>
      <c r="V756" s="34"/>
      <c r="W756" s="34"/>
      <c r="X756" s="129"/>
      <c r="Z756" s="34"/>
      <c r="AA756" s="188"/>
      <c r="AC756" s="142"/>
      <c r="AE756" s="188"/>
      <c r="AF756" s="277"/>
      <c r="AH756" s="188"/>
      <c r="AI756" s="34"/>
      <c r="AJ756" s="34"/>
      <c r="AK756" s="129"/>
      <c r="AM756" s="34"/>
      <c r="AN756" s="188"/>
      <c r="AP756" s="142"/>
      <c r="AR756" s="188"/>
      <c r="AS756" s="188"/>
      <c r="AU756" s="188"/>
      <c r="AV756" s="34"/>
      <c r="AW756" s="34"/>
      <c r="AX756" s="129"/>
      <c r="AZ756" s="34"/>
      <c r="BA756" s="188"/>
      <c r="BC756" s="142"/>
      <c r="BE756" s="188"/>
      <c r="BF756" s="188"/>
      <c r="BH756" s="188"/>
      <c r="BI756" s="34"/>
      <c r="BJ756" s="34"/>
      <c r="BK756" s="129"/>
      <c r="BM756" s="188"/>
      <c r="BN756" s="188"/>
      <c r="BP756" s="140"/>
      <c r="BR756" s="188"/>
      <c r="BS756" s="188"/>
      <c r="BU756" s="188"/>
      <c r="BV756" s="534"/>
      <c r="BW756" s="305"/>
      <c r="BX756" s="593"/>
      <c r="BY756" s="573"/>
      <c r="BZ756" s="305"/>
      <c r="CA756" s="305"/>
      <c r="CB756" s="573"/>
      <c r="CC756" s="752"/>
      <c r="CD756" s="573"/>
      <c r="CE756" s="305"/>
      <c r="CF756" s="305"/>
      <c r="CH756" s="812"/>
      <c r="CI756" s="812"/>
      <c r="CJ756" s="886"/>
      <c r="CO756" s="16"/>
    </row>
    <row r="757" spans="1:93" s="1" customFormat="1" ht="20.100000000000001" customHeight="1" x14ac:dyDescent="0.3">
      <c r="A757" s="63" t="s">
        <v>346</v>
      </c>
      <c r="B757" s="59"/>
      <c r="C757" s="60"/>
      <c r="D757" s="60"/>
      <c r="E757" s="61"/>
      <c r="F757" s="59"/>
      <c r="G757" s="59"/>
      <c r="H757" s="62"/>
      <c r="I757" s="62"/>
      <c r="J757" s="62"/>
      <c r="K757" s="120"/>
      <c r="M757" s="62"/>
      <c r="N757" s="62"/>
      <c r="P757" s="132"/>
      <c r="R757" s="62"/>
      <c r="S757" s="62"/>
      <c r="U757" s="62"/>
      <c r="V757" s="62"/>
      <c r="W757" s="62"/>
      <c r="X757" s="120"/>
      <c r="Z757" s="62"/>
      <c r="AA757" s="62"/>
      <c r="AC757" s="132"/>
      <c r="AE757" s="62"/>
      <c r="AF757" s="195"/>
      <c r="AH757" s="62"/>
      <c r="AI757" s="62"/>
      <c r="AJ757" s="62"/>
      <c r="AK757" s="120"/>
      <c r="AM757" s="62"/>
      <c r="AN757" s="62"/>
      <c r="AP757" s="132"/>
      <c r="AR757" s="62"/>
      <c r="AS757" s="62"/>
      <c r="AU757" s="62"/>
      <c r="AV757" s="62"/>
      <c r="AW757" s="62"/>
      <c r="AX757" s="120"/>
      <c r="AZ757" s="62"/>
      <c r="BA757" s="62"/>
      <c r="BC757" s="132"/>
      <c r="BE757" s="62"/>
      <c r="BF757" s="62"/>
      <c r="BH757" s="62"/>
      <c r="BI757" s="62"/>
      <c r="BJ757" s="62"/>
      <c r="BK757" s="120"/>
      <c r="BM757" s="62"/>
      <c r="BN757" s="62"/>
      <c r="BP757" s="398"/>
      <c r="BR757" s="62"/>
      <c r="BS757" s="62"/>
      <c r="BU757" s="62"/>
      <c r="BV757" s="528"/>
      <c r="BW757" s="571"/>
      <c r="BX757" s="572"/>
      <c r="BY757" s="573"/>
      <c r="BZ757" s="571"/>
      <c r="CA757" s="571"/>
      <c r="CB757" s="573"/>
      <c r="CC757" s="760"/>
      <c r="CD757" s="573"/>
      <c r="CE757" s="571"/>
      <c r="CF757" s="571"/>
      <c r="CH757" s="812"/>
      <c r="CI757" s="812"/>
      <c r="CJ757" s="886"/>
      <c r="CO757" s="16"/>
    </row>
    <row r="758" spans="1:93" s="1" customFormat="1" ht="15.6" x14ac:dyDescent="0.3">
      <c r="A758" s="14" t="s">
        <v>218</v>
      </c>
      <c r="B758" s="2"/>
      <c r="C758" s="36"/>
      <c r="D758" s="36"/>
      <c r="E758" s="48"/>
      <c r="F758" s="2"/>
      <c r="G758" s="2"/>
      <c r="H758" s="15"/>
      <c r="I758" s="15"/>
      <c r="J758" s="15"/>
      <c r="K758" s="121"/>
      <c r="M758" s="15"/>
      <c r="N758" s="15"/>
      <c r="P758" s="133"/>
      <c r="R758" s="15"/>
      <c r="S758" s="15"/>
      <c r="U758" s="15"/>
      <c r="V758" s="15"/>
      <c r="W758" s="15"/>
      <c r="X758" s="121"/>
      <c r="Z758" s="15"/>
      <c r="AA758" s="15"/>
      <c r="AC758" s="133"/>
      <c r="AE758" s="15"/>
      <c r="AF758" s="196"/>
      <c r="AH758" s="15"/>
      <c r="AI758" s="15"/>
      <c r="AJ758" s="15"/>
      <c r="AK758" s="121"/>
      <c r="AM758" s="15"/>
      <c r="AN758" s="15"/>
      <c r="AP758" s="133"/>
      <c r="AR758" s="15"/>
      <c r="AS758" s="15"/>
      <c r="AU758" s="15"/>
      <c r="AV758" s="15"/>
      <c r="AW758" s="15"/>
      <c r="AX758" s="121"/>
      <c r="AZ758" s="15"/>
      <c r="BA758" s="15"/>
      <c r="BC758" s="133"/>
      <c r="BE758" s="15"/>
      <c r="BF758" s="15"/>
      <c r="BH758" s="15"/>
      <c r="BI758" s="15"/>
      <c r="BJ758" s="15"/>
      <c r="BK758" s="121"/>
      <c r="BM758" s="15"/>
      <c r="BN758" s="15"/>
      <c r="BP758" s="234"/>
      <c r="BR758" s="15"/>
      <c r="BS758" s="15"/>
      <c r="BU758" s="15"/>
      <c r="BV758" s="529"/>
      <c r="BW758" s="574"/>
      <c r="BX758" s="575"/>
      <c r="BY758" s="573"/>
      <c r="BZ758" s="574"/>
      <c r="CA758" s="574"/>
      <c r="CB758" s="573"/>
      <c r="CC758" s="761"/>
      <c r="CD758" s="573"/>
      <c r="CE758" s="574"/>
      <c r="CF758" s="574"/>
      <c r="CH758" s="812"/>
      <c r="CI758" s="812"/>
      <c r="CJ758" s="886"/>
      <c r="CO758" s="16"/>
    </row>
    <row r="759" spans="1:93" x14ac:dyDescent="0.3">
      <c r="A759" s="11">
        <v>610</v>
      </c>
      <c r="B759" s="3" t="s">
        <v>2</v>
      </c>
      <c r="C759" s="37">
        <v>61001</v>
      </c>
      <c r="D759" s="37">
        <v>51120</v>
      </c>
      <c r="E759" s="49" t="s">
        <v>119</v>
      </c>
      <c r="F759" s="3" t="s">
        <v>2</v>
      </c>
      <c r="G759" s="3" t="s">
        <v>437</v>
      </c>
      <c r="H759" s="26">
        <v>78864</v>
      </c>
      <c r="I759" s="244">
        <v>3484</v>
      </c>
      <c r="J759" s="16">
        <f t="shared" ref="J759:J763" si="373">H759+I759</f>
        <v>82348</v>
      </c>
      <c r="K759" s="122">
        <f t="shared" ref="K759:K763" si="374">IF(H759=0," ",(J759-H759)/H759)</f>
        <v>4.4177317914384256E-2</v>
      </c>
      <c r="M759" s="117">
        <v>82348</v>
      </c>
      <c r="N759" s="117">
        <v>82348</v>
      </c>
      <c r="P759" s="259"/>
      <c r="R759" s="26">
        <v>82348</v>
      </c>
      <c r="S759" s="26">
        <v>82347.210000000006</v>
      </c>
      <c r="U759" s="26">
        <v>82348</v>
      </c>
      <c r="V759" s="244">
        <v>3952</v>
      </c>
      <c r="W759" s="16">
        <f t="shared" ref="W759:W763" si="375">U759+V759</f>
        <v>86300</v>
      </c>
      <c r="X759" s="122">
        <f t="shared" ref="X759:X763" si="376">IF(U759=0," ",(W759-U759)/U759)</f>
        <v>4.7991450915626364E-2</v>
      </c>
      <c r="Z759" s="117">
        <f t="shared" ref="Z759:Z763" si="377">W759</f>
        <v>86300</v>
      </c>
      <c r="AA759" s="117">
        <v>86300</v>
      </c>
      <c r="AC759" s="259" t="s">
        <v>682</v>
      </c>
      <c r="AE759" s="26">
        <v>86300</v>
      </c>
      <c r="AF759" s="200">
        <v>86299.199999999997</v>
      </c>
      <c r="AH759" s="26">
        <v>86300</v>
      </c>
      <c r="AI759" s="244">
        <v>4835</v>
      </c>
      <c r="AJ759" s="16">
        <f t="shared" ref="AJ759:AJ763" si="378">AH759+AI759</f>
        <v>91135</v>
      </c>
      <c r="AK759" s="122">
        <f t="shared" ref="AK759:AK763" si="379">IF(AH759=0," ",(AJ759-AH759)/AH759)</f>
        <v>5.6025492468134416E-2</v>
      </c>
      <c r="AM759" s="117">
        <v>91135</v>
      </c>
      <c r="AN759" s="117">
        <v>91135</v>
      </c>
      <c r="AP759" s="259" t="s">
        <v>836</v>
      </c>
      <c r="AR759" s="26">
        <v>91135</v>
      </c>
      <c r="AS759" s="26">
        <v>91134.080000000002</v>
      </c>
      <c r="AU759" s="26">
        <f>AR759</f>
        <v>91135</v>
      </c>
      <c r="AV759" s="244">
        <v>4016</v>
      </c>
      <c r="AW759" s="16">
        <f t="shared" ref="AW759:AW763" si="380">AU759+AV759</f>
        <v>95151</v>
      </c>
      <c r="AX759" s="122">
        <f t="shared" ref="AX759:AX763" si="381">IF(AU759=0," ",(AW759-AU759)/AU759)</f>
        <v>4.406649476052011E-2</v>
      </c>
      <c r="AZ759" s="117">
        <v>94775</v>
      </c>
      <c r="BA759" s="117">
        <v>93292</v>
      </c>
      <c r="BC759" s="259" t="s">
        <v>973</v>
      </c>
      <c r="BE759" s="26">
        <v>93292</v>
      </c>
      <c r="BF759" s="26">
        <v>93291.839999999997</v>
      </c>
      <c r="BH759" s="26">
        <v>93292</v>
      </c>
      <c r="BI759" s="244">
        <v>1859</v>
      </c>
      <c r="BJ759" s="16">
        <f t="shared" ref="BJ759:BJ763" si="382">BH759+BI759</f>
        <v>95151</v>
      </c>
      <c r="BK759" s="122">
        <f t="shared" ref="BK759:BK763" si="383">IF(BH759=0," ",(BJ759-BH759)/BH759)</f>
        <v>1.9926681816232902E-2</v>
      </c>
      <c r="BM759" s="117">
        <v>95151</v>
      </c>
      <c r="BN759" s="117">
        <v>95151</v>
      </c>
      <c r="BP759" s="428" t="s">
        <v>1312</v>
      </c>
      <c r="BR759" s="117">
        <v>95151</v>
      </c>
      <c r="BS759" s="26">
        <v>42653.52</v>
      </c>
      <c r="BU759" s="26">
        <v>95151</v>
      </c>
      <c r="BV759" s="244">
        <f>91935-95151</f>
        <v>-3216</v>
      </c>
      <c r="BW759" s="576">
        <f t="shared" ref="BW759:BW763" si="384">BU759+BV759</f>
        <v>91935</v>
      </c>
      <c r="BX759" s="577">
        <f t="shared" ref="BX759:BX763" si="385">IF(BU759=0," ",(BW759-BU759)/BU759)</f>
        <v>-3.3798909102374118E-2</v>
      </c>
      <c r="BZ759" s="166">
        <v>91935</v>
      </c>
      <c r="CA759" s="166">
        <v>91935</v>
      </c>
      <c r="CC759" s="765" t="s">
        <v>1331</v>
      </c>
      <c r="CE759" s="166">
        <v>91935</v>
      </c>
      <c r="CF759" s="166"/>
      <c r="CO759" s="16"/>
    </row>
    <row r="760" spans="1:93" x14ac:dyDescent="0.3">
      <c r="A760" s="11">
        <v>610</v>
      </c>
      <c r="B760" s="3" t="s">
        <v>2</v>
      </c>
      <c r="C760" s="37">
        <v>61001</v>
      </c>
      <c r="D760" s="37">
        <v>51121</v>
      </c>
      <c r="E760" s="49" t="s">
        <v>119</v>
      </c>
      <c r="F760" s="3" t="s">
        <v>2</v>
      </c>
      <c r="G760" s="3" t="s">
        <v>438</v>
      </c>
      <c r="H760" s="26">
        <v>47254</v>
      </c>
      <c r="I760" s="244">
        <v>2120</v>
      </c>
      <c r="J760" s="16">
        <f t="shared" si="373"/>
        <v>49374</v>
      </c>
      <c r="K760" s="122">
        <f t="shared" si="374"/>
        <v>4.4863926863334319E-2</v>
      </c>
      <c r="M760" s="117">
        <v>49374</v>
      </c>
      <c r="N760" s="117">
        <v>49374</v>
      </c>
      <c r="P760" s="259"/>
      <c r="R760" s="26">
        <v>49374</v>
      </c>
      <c r="S760" s="26">
        <v>49374</v>
      </c>
      <c r="U760" s="26">
        <v>49374</v>
      </c>
      <c r="V760" s="244">
        <v>2360</v>
      </c>
      <c r="W760" s="16">
        <f t="shared" si="375"/>
        <v>51734</v>
      </c>
      <c r="X760" s="122">
        <f t="shared" si="376"/>
        <v>4.779843642402884E-2</v>
      </c>
      <c r="Z760" s="117">
        <f t="shared" si="377"/>
        <v>51734</v>
      </c>
      <c r="AA760" s="117">
        <v>51734</v>
      </c>
      <c r="AC760" s="259" t="s">
        <v>685</v>
      </c>
      <c r="AE760" s="26">
        <v>51734</v>
      </c>
      <c r="AF760" s="200">
        <v>51733.67</v>
      </c>
      <c r="AH760" s="26">
        <v>51734</v>
      </c>
      <c r="AI760" s="244">
        <v>2893</v>
      </c>
      <c r="AJ760" s="16">
        <f t="shared" si="378"/>
        <v>54627</v>
      </c>
      <c r="AK760" s="122">
        <f t="shared" si="379"/>
        <v>5.5920671125372093E-2</v>
      </c>
      <c r="AM760" s="117">
        <v>54627</v>
      </c>
      <c r="AN760" s="117">
        <v>54627</v>
      </c>
      <c r="AP760" s="259" t="s">
        <v>836</v>
      </c>
      <c r="AR760" s="26">
        <v>54627</v>
      </c>
      <c r="AS760" s="26">
        <v>54627</v>
      </c>
      <c r="AU760" s="26">
        <f>AR760</f>
        <v>54627</v>
      </c>
      <c r="AV760" s="244">
        <v>2376</v>
      </c>
      <c r="AW760" s="16">
        <f t="shared" si="380"/>
        <v>57003</v>
      </c>
      <c r="AX760" s="122">
        <f t="shared" si="381"/>
        <v>4.3494975012356524E-2</v>
      </c>
      <c r="AZ760" s="117">
        <v>56788</v>
      </c>
      <c r="BA760" s="117">
        <v>55887</v>
      </c>
      <c r="BC760" s="259" t="s">
        <v>968</v>
      </c>
      <c r="BE760" s="26">
        <v>55887</v>
      </c>
      <c r="BF760" s="26">
        <v>55886.63</v>
      </c>
      <c r="BH760" s="26">
        <v>55887</v>
      </c>
      <c r="BI760" s="244">
        <v>1116</v>
      </c>
      <c r="BJ760" s="16">
        <f t="shared" si="382"/>
        <v>57003</v>
      </c>
      <c r="BK760" s="122">
        <f t="shared" si="383"/>
        <v>1.9968865746953675E-2</v>
      </c>
      <c r="BM760" s="117">
        <v>57003</v>
      </c>
      <c r="BN760" s="117">
        <v>57003</v>
      </c>
      <c r="BP760" s="428" t="s">
        <v>1293</v>
      </c>
      <c r="BR760" s="117">
        <v>57003</v>
      </c>
      <c r="BS760" s="26">
        <v>25552.799999999999</v>
      </c>
      <c r="BU760" s="26">
        <v>57003</v>
      </c>
      <c r="BV760" s="244">
        <v>1135</v>
      </c>
      <c r="BW760" s="576">
        <f t="shared" si="384"/>
        <v>58138</v>
      </c>
      <c r="BX760" s="577">
        <f t="shared" si="385"/>
        <v>1.9911232742136378E-2</v>
      </c>
      <c r="BZ760" s="166">
        <v>58138</v>
      </c>
      <c r="CA760" s="166">
        <v>58138</v>
      </c>
      <c r="CC760" s="765" t="s">
        <v>1334</v>
      </c>
      <c r="CE760" s="166">
        <v>58138</v>
      </c>
      <c r="CF760" s="166"/>
      <c r="CO760" s="16"/>
    </row>
    <row r="761" spans="1:93" x14ac:dyDescent="0.3">
      <c r="A761" s="11">
        <v>610</v>
      </c>
      <c r="B761" s="3" t="s">
        <v>2</v>
      </c>
      <c r="C761" s="37">
        <v>61001</v>
      </c>
      <c r="D761" s="37">
        <v>51122</v>
      </c>
      <c r="E761" s="49" t="s">
        <v>119</v>
      </c>
      <c r="F761" s="3" t="s">
        <v>2</v>
      </c>
      <c r="G761" s="3" t="s">
        <v>1125</v>
      </c>
      <c r="H761" s="26">
        <v>54145</v>
      </c>
      <c r="I761" s="244">
        <v>2405</v>
      </c>
      <c r="J761" s="16">
        <f t="shared" si="373"/>
        <v>56550</v>
      </c>
      <c r="K761" s="122">
        <f t="shared" si="374"/>
        <v>4.441776710684274E-2</v>
      </c>
      <c r="M761" s="117">
        <v>56550</v>
      </c>
      <c r="N761" s="117">
        <v>56550</v>
      </c>
      <c r="P761" s="259"/>
      <c r="R761" s="26">
        <v>56550</v>
      </c>
      <c r="S761" s="26">
        <v>58038.57</v>
      </c>
      <c r="U761" s="26">
        <v>56550</v>
      </c>
      <c r="V761" s="244">
        <v>5694</v>
      </c>
      <c r="W761" s="16">
        <f t="shared" si="375"/>
        <v>62244</v>
      </c>
      <c r="X761" s="122">
        <f t="shared" si="376"/>
        <v>0.10068965517241379</v>
      </c>
      <c r="Z761" s="117">
        <f t="shared" si="377"/>
        <v>62244</v>
      </c>
      <c r="AA761" s="117">
        <v>62244</v>
      </c>
      <c r="AC761" s="205" t="s">
        <v>683</v>
      </c>
      <c r="AE761" s="26">
        <v>62244</v>
      </c>
      <c r="AF761" s="200">
        <v>62244</v>
      </c>
      <c r="AH761" s="26">
        <v>62244</v>
      </c>
      <c r="AI761" s="244">
        <v>3505</v>
      </c>
      <c r="AJ761" s="16">
        <f t="shared" si="378"/>
        <v>65749</v>
      </c>
      <c r="AK761" s="122">
        <f t="shared" si="379"/>
        <v>5.6310648415911574E-2</v>
      </c>
      <c r="AM761" s="117">
        <v>65749</v>
      </c>
      <c r="AN761" s="117">
        <v>65749</v>
      </c>
      <c r="AP761" s="259" t="s">
        <v>836</v>
      </c>
      <c r="AR761" s="26">
        <v>65749</v>
      </c>
      <c r="AS761" s="26">
        <v>65748.899999999994</v>
      </c>
      <c r="AU761" s="26">
        <f>AR761</f>
        <v>65749</v>
      </c>
      <c r="AV761" s="244">
        <v>2940</v>
      </c>
      <c r="AW761" s="16">
        <f t="shared" si="380"/>
        <v>68689</v>
      </c>
      <c r="AX761" s="122">
        <f t="shared" si="381"/>
        <v>4.4715508981125189E-2</v>
      </c>
      <c r="AZ761" s="117">
        <v>68415</v>
      </c>
      <c r="BA761" s="117">
        <v>67338</v>
      </c>
      <c r="BC761" s="259" t="s">
        <v>1062</v>
      </c>
      <c r="BE761" s="26">
        <v>67338</v>
      </c>
      <c r="BF761" s="26">
        <v>22704</v>
      </c>
      <c r="BH761" s="26">
        <v>67338</v>
      </c>
      <c r="BI761" s="244">
        <v>-8984</v>
      </c>
      <c r="BJ761" s="16">
        <f t="shared" si="382"/>
        <v>58354</v>
      </c>
      <c r="BK761" s="122">
        <f t="shared" si="383"/>
        <v>-0.13341649588642371</v>
      </c>
      <c r="BM761" s="117">
        <v>58354</v>
      </c>
      <c r="BN761" s="117">
        <v>58354</v>
      </c>
      <c r="BP761" s="428" t="s">
        <v>1313</v>
      </c>
      <c r="BR761" s="117">
        <v>58354</v>
      </c>
      <c r="BS761" s="26">
        <v>22357.5</v>
      </c>
      <c r="BU761" s="26">
        <v>58354</v>
      </c>
      <c r="BV761" s="244">
        <v>1174</v>
      </c>
      <c r="BW761" s="576">
        <f t="shared" si="384"/>
        <v>59528</v>
      </c>
      <c r="BX761" s="577">
        <f t="shared" si="385"/>
        <v>2.0118586557905199E-2</v>
      </c>
      <c r="BZ761" s="166">
        <v>59528</v>
      </c>
      <c r="CA761" s="166">
        <v>59528</v>
      </c>
      <c r="CC761" s="765" t="s">
        <v>1333</v>
      </c>
      <c r="CE761" s="166">
        <v>59528</v>
      </c>
      <c r="CF761" s="166"/>
      <c r="CO761" s="16"/>
    </row>
    <row r="762" spans="1:93" x14ac:dyDescent="0.3">
      <c r="A762" s="11">
        <v>610</v>
      </c>
      <c r="B762" s="3" t="s">
        <v>2</v>
      </c>
      <c r="C762" s="37">
        <v>61001</v>
      </c>
      <c r="D762" s="37">
        <v>51123</v>
      </c>
      <c r="E762" s="49" t="s">
        <v>119</v>
      </c>
      <c r="F762" s="3" t="s">
        <v>2</v>
      </c>
      <c r="G762" s="3" t="s">
        <v>439</v>
      </c>
      <c r="H762" s="26">
        <v>49917</v>
      </c>
      <c r="I762" s="244">
        <v>803</v>
      </c>
      <c r="J762" s="16">
        <f t="shared" si="373"/>
        <v>50720</v>
      </c>
      <c r="K762" s="122">
        <f t="shared" si="374"/>
        <v>1.6086703928521344E-2</v>
      </c>
      <c r="M762" s="117">
        <v>50720</v>
      </c>
      <c r="N762" s="117">
        <v>50720</v>
      </c>
      <c r="P762" s="259"/>
      <c r="R762" s="26">
        <v>50720</v>
      </c>
      <c r="S762" s="26">
        <v>50641.73</v>
      </c>
      <c r="U762" s="26">
        <v>50720</v>
      </c>
      <c r="V762" s="244">
        <v>2418</v>
      </c>
      <c r="W762" s="16">
        <f t="shared" si="375"/>
        <v>53138</v>
      </c>
      <c r="X762" s="122">
        <f t="shared" si="376"/>
        <v>4.7673501577287065E-2</v>
      </c>
      <c r="Z762" s="117">
        <f t="shared" si="377"/>
        <v>53138</v>
      </c>
      <c r="AA762" s="117">
        <v>53138</v>
      </c>
      <c r="AC762" s="259" t="s">
        <v>684</v>
      </c>
      <c r="AE762" s="26">
        <v>53138</v>
      </c>
      <c r="AF762" s="200">
        <v>53137.67</v>
      </c>
      <c r="AH762" s="26">
        <v>53138</v>
      </c>
      <c r="AI762" s="244">
        <v>3003</v>
      </c>
      <c r="AJ762" s="16">
        <f t="shared" si="378"/>
        <v>56141</v>
      </c>
      <c r="AK762" s="122">
        <f t="shared" si="379"/>
        <v>5.6513229703790128E-2</v>
      </c>
      <c r="AM762" s="117">
        <v>56141</v>
      </c>
      <c r="AN762" s="117">
        <v>56141</v>
      </c>
      <c r="AP762" s="259" t="s">
        <v>836</v>
      </c>
      <c r="AR762" s="26">
        <v>56141</v>
      </c>
      <c r="AS762" s="26">
        <v>56140.05</v>
      </c>
      <c r="AU762" s="26">
        <f>AR762</f>
        <v>56141</v>
      </c>
      <c r="AV762" s="244">
        <v>2447</v>
      </c>
      <c r="AW762" s="16">
        <f t="shared" si="380"/>
        <v>58588</v>
      </c>
      <c r="AX762" s="122">
        <f t="shared" si="381"/>
        <v>4.3586683528971694E-2</v>
      </c>
      <c r="AZ762" s="117">
        <v>58354</v>
      </c>
      <c r="BA762" s="117">
        <v>57434</v>
      </c>
      <c r="BC762" s="259" t="s">
        <v>966</v>
      </c>
      <c r="BE762" s="26">
        <v>57434</v>
      </c>
      <c r="BF762" s="26">
        <v>57433.05</v>
      </c>
      <c r="BH762" s="26">
        <v>57434</v>
      </c>
      <c r="BI762" s="244">
        <v>1154</v>
      </c>
      <c r="BJ762" s="16">
        <f t="shared" si="382"/>
        <v>58588</v>
      </c>
      <c r="BK762" s="122">
        <f t="shared" si="383"/>
        <v>2.0092628060034125E-2</v>
      </c>
      <c r="BM762" s="117">
        <v>58588</v>
      </c>
      <c r="BN762" s="117">
        <v>58588</v>
      </c>
      <c r="BP762" s="428" t="s">
        <v>1294</v>
      </c>
      <c r="BR762" s="117">
        <v>58588</v>
      </c>
      <c r="BS762" s="26">
        <v>20651.71</v>
      </c>
      <c r="BU762" s="26">
        <v>58588</v>
      </c>
      <c r="BV762" s="244">
        <v>1175</v>
      </c>
      <c r="BW762" s="576">
        <f t="shared" si="384"/>
        <v>59763</v>
      </c>
      <c r="BX762" s="577">
        <f t="shared" si="385"/>
        <v>2.005530142691336E-2</v>
      </c>
      <c r="BZ762" s="166">
        <v>59763</v>
      </c>
      <c r="CA762" s="166">
        <v>59763</v>
      </c>
      <c r="CC762" s="765" t="s">
        <v>1332</v>
      </c>
      <c r="CE762" s="166">
        <v>59763</v>
      </c>
      <c r="CF762" s="166"/>
      <c r="CO762" s="16"/>
    </row>
    <row r="763" spans="1:93" x14ac:dyDescent="0.3">
      <c r="A763" s="11">
        <v>610</v>
      </c>
      <c r="B763" s="3" t="s">
        <v>2</v>
      </c>
      <c r="C763" s="37">
        <v>61001</v>
      </c>
      <c r="D763" s="37">
        <v>51490</v>
      </c>
      <c r="E763" s="49" t="s">
        <v>119</v>
      </c>
      <c r="F763" s="3" t="s">
        <v>2</v>
      </c>
      <c r="G763" s="3" t="s">
        <v>440</v>
      </c>
      <c r="H763" s="26">
        <v>938</v>
      </c>
      <c r="I763" s="245">
        <v>562</v>
      </c>
      <c r="J763" s="16">
        <f t="shared" si="373"/>
        <v>1500</v>
      </c>
      <c r="K763" s="122">
        <f t="shared" si="374"/>
        <v>0.59914712153518124</v>
      </c>
      <c r="M763" s="118">
        <v>1500</v>
      </c>
      <c r="N763" s="118">
        <v>1500</v>
      </c>
      <c r="P763" s="137"/>
      <c r="R763" s="144">
        <v>1500</v>
      </c>
      <c r="S763" s="144">
        <v>1500</v>
      </c>
      <c r="U763" s="144">
        <v>1500</v>
      </c>
      <c r="V763" s="245"/>
      <c r="W763" s="16">
        <f t="shared" si="375"/>
        <v>1500</v>
      </c>
      <c r="X763" s="122">
        <f t="shared" si="376"/>
        <v>0</v>
      </c>
      <c r="Z763" s="117">
        <f t="shared" si="377"/>
        <v>1500</v>
      </c>
      <c r="AA763" s="117">
        <v>1500</v>
      </c>
      <c r="AC763" s="137"/>
      <c r="AE763" s="26">
        <v>1500</v>
      </c>
      <c r="AF763" s="200">
        <v>1500</v>
      </c>
      <c r="AH763" s="26">
        <v>1500</v>
      </c>
      <c r="AI763" s="245"/>
      <c r="AJ763" s="16">
        <f t="shared" si="378"/>
        <v>1500</v>
      </c>
      <c r="AK763" s="122">
        <f t="shared" si="379"/>
        <v>0</v>
      </c>
      <c r="AM763" s="117">
        <v>1500</v>
      </c>
      <c r="AN763" s="117">
        <v>1500</v>
      </c>
      <c r="AP763" s="137"/>
      <c r="AR763" s="26">
        <v>1500</v>
      </c>
      <c r="AS763" s="26">
        <v>1500</v>
      </c>
      <c r="AU763" s="26">
        <f>AR763</f>
        <v>1500</v>
      </c>
      <c r="AV763" s="245"/>
      <c r="AW763" s="16">
        <f t="shared" si="380"/>
        <v>1500</v>
      </c>
      <c r="AX763" s="122">
        <f t="shared" si="381"/>
        <v>0</v>
      </c>
      <c r="AZ763" s="117">
        <v>1500</v>
      </c>
      <c r="BA763" s="117">
        <v>1500</v>
      </c>
      <c r="BC763" s="137"/>
      <c r="BE763" s="26">
        <v>1500</v>
      </c>
      <c r="BF763" s="26">
        <v>1500</v>
      </c>
      <c r="BH763" s="26">
        <v>1500</v>
      </c>
      <c r="BI763" s="245">
        <v>-750</v>
      </c>
      <c r="BJ763" s="16">
        <f t="shared" si="382"/>
        <v>750</v>
      </c>
      <c r="BK763" s="122">
        <f t="shared" si="383"/>
        <v>-0.5</v>
      </c>
      <c r="BM763" s="117">
        <v>750</v>
      </c>
      <c r="BN763" s="117">
        <v>750</v>
      </c>
      <c r="BP763" s="137" t="s">
        <v>1126</v>
      </c>
      <c r="BR763" s="117">
        <v>750</v>
      </c>
      <c r="BS763" s="26">
        <v>750</v>
      </c>
      <c r="BU763" s="26">
        <v>750</v>
      </c>
      <c r="BV763" s="245">
        <v>-750</v>
      </c>
      <c r="BW763" s="576">
        <f t="shared" si="384"/>
        <v>0</v>
      </c>
      <c r="BX763" s="577">
        <f t="shared" si="385"/>
        <v>-1</v>
      </c>
      <c r="BZ763" s="166">
        <v>0</v>
      </c>
      <c r="CA763" s="166">
        <v>0</v>
      </c>
      <c r="CC763" s="767"/>
      <c r="CE763" s="166">
        <v>0</v>
      </c>
      <c r="CF763" s="166"/>
      <c r="CL763" s="3">
        <v>17363</v>
      </c>
      <c r="CM763" s="3" t="s">
        <v>1542</v>
      </c>
      <c r="CO763" s="16"/>
    </row>
    <row r="764" spans="1:93" x14ac:dyDescent="0.3">
      <c r="A764" s="12"/>
      <c r="H764" s="145">
        <f>SUM(H759:H763)</f>
        <v>231118</v>
      </c>
      <c r="I764" s="145">
        <f>SUM(I759:I763)</f>
        <v>9374</v>
      </c>
      <c r="J764" s="145">
        <f>SUM(J759:J763)</f>
        <v>240492</v>
      </c>
      <c r="K764" s="128">
        <f>IF(H764=0," ",(J764-H764)/H764)</f>
        <v>4.0559367941917113E-2</v>
      </c>
      <c r="M764" s="145">
        <f>SUM(M759:M763)</f>
        <v>240492</v>
      </c>
      <c r="N764" s="145">
        <f>SUM(N759:N763)</f>
        <v>240492</v>
      </c>
      <c r="P764" s="141">
        <f>SUM(P759:P763)</f>
        <v>0</v>
      </c>
      <c r="R764" s="145">
        <f>SUM(R759:R763)</f>
        <v>240492</v>
      </c>
      <c r="S764" s="145">
        <f>SUM(S759:S763)</f>
        <v>241901.51000000004</v>
      </c>
      <c r="U764" s="145">
        <f>SUM(U759:U763)</f>
        <v>240492</v>
      </c>
      <c r="V764" s="32">
        <f>SUM(V759:V763)</f>
        <v>14424</v>
      </c>
      <c r="W764" s="32">
        <f>SUM(W759:W763)</f>
        <v>254916</v>
      </c>
      <c r="X764" s="128">
        <f>IF(U764=0," ",(W764-U764)/U764)</f>
        <v>5.997704705354024E-2</v>
      </c>
      <c r="Z764" s="32">
        <f>SUM(Z759:Z763)</f>
        <v>254916</v>
      </c>
      <c r="AA764" s="32">
        <f>SUM(AA759:AA763)</f>
        <v>254916</v>
      </c>
      <c r="AC764" s="141"/>
      <c r="AE764" s="145">
        <f>SUM(AE759:AE763)</f>
        <v>254916</v>
      </c>
      <c r="AF764" s="274">
        <f>SUM(AF759:AF763)</f>
        <v>254914.53999999998</v>
      </c>
      <c r="AH764" s="145">
        <v>254916</v>
      </c>
      <c r="AI764" s="32">
        <f>SUM(AI759:AI763)</f>
        <v>14236</v>
      </c>
      <c r="AJ764" s="32">
        <f>SUM(AJ759:AJ763)</f>
        <v>269152</v>
      </c>
      <c r="AK764" s="128">
        <f>IF(AH764=0," ",(AJ764-AH764)/AH764)</f>
        <v>5.5845847259489399E-2</v>
      </c>
      <c r="AM764" s="32">
        <f>SUM(AM759:AM763)</f>
        <v>269152</v>
      </c>
      <c r="AN764" s="32">
        <f>SUM(AN759:AN763)</f>
        <v>269152</v>
      </c>
      <c r="AP764" s="141"/>
      <c r="AR764" s="145">
        <f>SUM(AR759:AR763)</f>
        <v>269152</v>
      </c>
      <c r="AS764" s="145">
        <f>SUM(AS759:AS763)</f>
        <v>269150.03000000003</v>
      </c>
      <c r="AU764" s="145">
        <f>SUM(AU759:AU763)</f>
        <v>269152</v>
      </c>
      <c r="AV764" s="32">
        <f>SUM(AV759:AV763)</f>
        <v>11779</v>
      </c>
      <c r="AW764" s="32">
        <f>SUM(AW759:AW763)</f>
        <v>280931</v>
      </c>
      <c r="AX764" s="128">
        <f>IF(AU764=0," ",(AW764-AU764)/AU764)</f>
        <v>4.3763375341814292E-2</v>
      </c>
      <c r="AZ764" s="32">
        <f>SUM(AZ759:AZ763)</f>
        <v>279832</v>
      </c>
      <c r="BA764" s="32">
        <f>SUM(BA759:BA763)</f>
        <v>275451</v>
      </c>
      <c r="BC764" s="141"/>
      <c r="BE764" s="145">
        <f>SUM(BE759:BE763)</f>
        <v>275451</v>
      </c>
      <c r="BF764" s="145">
        <f>SUM(BF759:BF763)</f>
        <v>230815.52000000002</v>
      </c>
      <c r="BH764" s="145">
        <f>SUM(BH759:BH763)</f>
        <v>275451</v>
      </c>
      <c r="BI764" s="32">
        <f>SUM(BI759:BI763)</f>
        <v>-5605</v>
      </c>
      <c r="BJ764" s="32">
        <f>SUM(BJ759:BJ763)</f>
        <v>269846</v>
      </c>
      <c r="BK764" s="128">
        <f>IF(BH764=0," ",(BJ764-BH764)/BH764)</f>
        <v>-2.0348446729182321E-2</v>
      </c>
      <c r="BM764" s="145">
        <f>SUM(BM759:BM763)</f>
        <v>269846</v>
      </c>
      <c r="BN764" s="145">
        <f>SUM(BN759:BN763)</f>
        <v>269846</v>
      </c>
      <c r="BP764" s="141"/>
      <c r="BR764" s="145">
        <f>SUM(BR759:BR763)</f>
        <v>269846</v>
      </c>
      <c r="BS764" s="145">
        <f>SUM(BS759:BS763)</f>
        <v>111965.53</v>
      </c>
      <c r="BU764" s="145">
        <f>SUM(BU759:BU763)</f>
        <v>269846</v>
      </c>
      <c r="BV764" s="32">
        <f>SUM(BV759:BV763)</f>
        <v>-482</v>
      </c>
      <c r="BW764" s="595">
        <f>SUM(BW759:BW763)</f>
        <v>269364</v>
      </c>
      <c r="BX764" s="596">
        <f>IF(BU764=0," ",(BW764-BU764)/BU764)</f>
        <v>-1.786203983012533E-3</v>
      </c>
      <c r="BZ764" s="597">
        <f>SUM(BZ759:BZ763)</f>
        <v>269364</v>
      </c>
      <c r="CA764" s="597">
        <f>SUM(CA759:CA763)</f>
        <v>269364</v>
      </c>
      <c r="CC764" s="770"/>
      <c r="CE764" s="597">
        <f>SUM(CE759:CE763)</f>
        <v>269364</v>
      </c>
      <c r="CF764" s="597">
        <f>SUM(CF759:CF763)</f>
        <v>0</v>
      </c>
      <c r="CL764" s="3">
        <v>19781</v>
      </c>
      <c r="CM764" s="3" t="s">
        <v>1539</v>
      </c>
      <c r="CO764" s="16"/>
    </row>
    <row r="765" spans="1:93" x14ac:dyDescent="0.3">
      <c r="H765" s="26"/>
      <c r="R765" s="26"/>
      <c r="AE765" s="26"/>
      <c r="AF765" s="200"/>
      <c r="AH765" s="26"/>
      <c r="AR765" s="26"/>
      <c r="AS765" s="26"/>
      <c r="AU765" s="26"/>
      <c r="BE765" s="26"/>
      <c r="BF765" s="26"/>
      <c r="BH765" s="26"/>
      <c r="BM765" s="26"/>
      <c r="BN765" s="26"/>
      <c r="BR765" s="26"/>
      <c r="BS765" s="26"/>
      <c r="BU765" s="26"/>
      <c r="BZ765" s="589"/>
      <c r="CA765" s="589"/>
      <c r="CE765" s="589"/>
      <c r="CF765" s="589"/>
      <c r="CL765" s="3">
        <v>17839</v>
      </c>
      <c r="CM765" s="3" t="s">
        <v>1538</v>
      </c>
      <c r="CO765" s="16"/>
    </row>
    <row r="766" spans="1:93" x14ac:dyDescent="0.3">
      <c r="A766" s="11">
        <v>610</v>
      </c>
      <c r="B766" s="3" t="s">
        <v>2</v>
      </c>
      <c r="C766" s="37">
        <v>61002</v>
      </c>
      <c r="D766" s="37">
        <v>51130</v>
      </c>
      <c r="E766" s="49" t="s">
        <v>11</v>
      </c>
      <c r="F766" s="3" t="s">
        <v>2</v>
      </c>
      <c r="G766" s="3" t="s">
        <v>441</v>
      </c>
      <c r="H766" s="26">
        <v>45003</v>
      </c>
      <c r="I766" s="244">
        <v>-504</v>
      </c>
      <c r="J766" s="16">
        <f>H766+I766</f>
        <v>44499</v>
      </c>
      <c r="K766" s="122">
        <f>IF(H766=0," ",(J766-H766)/H766)</f>
        <v>-1.1199253383107793E-2</v>
      </c>
      <c r="M766" s="117">
        <v>44499</v>
      </c>
      <c r="N766" s="117">
        <v>44499</v>
      </c>
      <c r="P766" s="259"/>
      <c r="R766" s="26">
        <v>44499</v>
      </c>
      <c r="S766" s="26">
        <v>42304.23</v>
      </c>
      <c r="U766" s="26">
        <v>44499</v>
      </c>
      <c r="V766" s="244">
        <v>-312</v>
      </c>
      <c r="W766" s="16">
        <f>U766+V766</f>
        <v>44187</v>
      </c>
      <c r="X766" s="122">
        <f>IF(U766=0," ",(W766-U766)/U766)</f>
        <v>-7.0113935144609993E-3</v>
      </c>
      <c r="Z766" s="117">
        <f>W766</f>
        <v>44187</v>
      </c>
      <c r="AA766" s="117">
        <v>44187</v>
      </c>
      <c r="AC766" s="259" t="s">
        <v>686</v>
      </c>
      <c r="AE766" s="26">
        <v>44187</v>
      </c>
      <c r="AF766" s="200">
        <v>44187</v>
      </c>
      <c r="AH766" s="26">
        <v>44187</v>
      </c>
      <c r="AI766" s="244">
        <v>2482</v>
      </c>
      <c r="AJ766" s="16">
        <f>AH766+AI766</f>
        <v>46669</v>
      </c>
      <c r="AK766" s="122">
        <f>IF(AH766=0," ",(AJ766-AH766)/AH766)</f>
        <v>5.6170366849978504E-2</v>
      </c>
      <c r="AM766" s="117">
        <v>46669</v>
      </c>
      <c r="AN766" s="117">
        <v>46669</v>
      </c>
      <c r="AP766" s="259" t="s">
        <v>836</v>
      </c>
      <c r="AR766" s="26">
        <v>46669</v>
      </c>
      <c r="AS766" s="26">
        <v>46799.39</v>
      </c>
      <c r="AU766" s="26">
        <f>AR766</f>
        <v>46669</v>
      </c>
      <c r="AV766" s="244">
        <v>1995</v>
      </c>
      <c r="AW766" s="16">
        <f>AU766+AV766</f>
        <v>48664</v>
      </c>
      <c r="AX766" s="122">
        <f>IF(AU766=0," ",(AW766-AU766)/AU766)</f>
        <v>4.2747862606869656E-2</v>
      </c>
      <c r="AZ766" s="117">
        <v>48468</v>
      </c>
      <c r="BA766" s="117">
        <v>47705</v>
      </c>
      <c r="BC766" s="259" t="s">
        <v>1063</v>
      </c>
      <c r="BE766" s="26">
        <v>47705</v>
      </c>
      <c r="BF766" s="26">
        <v>47704.28</v>
      </c>
      <c r="BH766" s="26">
        <v>47705</v>
      </c>
      <c r="BI766" s="244">
        <v>959</v>
      </c>
      <c r="BJ766" s="16">
        <f>BH766+BI766</f>
        <v>48664</v>
      </c>
      <c r="BK766" s="122">
        <f>IF(BH766=0," ",(BJ766-BH766)/BH766)</f>
        <v>2.0102714600146735E-2</v>
      </c>
      <c r="BM766" s="117">
        <v>48664</v>
      </c>
      <c r="BN766" s="117">
        <v>48664</v>
      </c>
      <c r="BP766" s="428" t="s">
        <v>1314</v>
      </c>
      <c r="BR766" s="117">
        <v>48664</v>
      </c>
      <c r="BS766" s="26">
        <v>21814.65</v>
      </c>
      <c r="BU766" s="26">
        <v>48664</v>
      </c>
      <c r="BV766" s="244">
        <v>979</v>
      </c>
      <c r="BW766" s="576">
        <f>BU766+BV766</f>
        <v>49643</v>
      </c>
      <c r="BX766" s="577">
        <f>IF(BU766=0," ",(BW766-BU766)/BU766)</f>
        <v>2.0117540687160939E-2</v>
      </c>
      <c r="BZ766" s="166">
        <v>49643</v>
      </c>
      <c r="CA766" s="166">
        <v>49643</v>
      </c>
      <c r="CC766" s="765" t="s">
        <v>1335</v>
      </c>
      <c r="CE766" s="166">
        <v>49643</v>
      </c>
      <c r="CF766" s="166"/>
      <c r="CL766" s="3">
        <v>36786</v>
      </c>
      <c r="CM766" s="3" t="s">
        <v>1537</v>
      </c>
      <c r="CO766" s="16"/>
    </row>
    <row r="767" spans="1:93" x14ac:dyDescent="0.3">
      <c r="A767" s="11">
        <v>610</v>
      </c>
      <c r="B767" s="3" t="s">
        <v>2</v>
      </c>
      <c r="C767" s="37">
        <v>61002</v>
      </c>
      <c r="D767" s="37">
        <v>51140</v>
      </c>
      <c r="E767" s="49" t="s">
        <v>11</v>
      </c>
      <c r="F767" s="3" t="s">
        <v>2</v>
      </c>
      <c r="G767" s="3" t="s">
        <v>442</v>
      </c>
      <c r="H767" s="26">
        <v>143383</v>
      </c>
      <c r="I767" s="244">
        <v>3039</v>
      </c>
      <c r="J767" s="16">
        <f>H767+I767</f>
        <v>146422</v>
      </c>
      <c r="K767" s="122">
        <f>IF(H767=0," ",(J767-H767)/H767)</f>
        <v>2.1194981273930661E-2</v>
      </c>
      <c r="M767" s="117">
        <v>146422</v>
      </c>
      <c r="N767" s="117">
        <v>146422</v>
      </c>
      <c r="P767" s="259"/>
      <c r="R767" s="26">
        <v>146422</v>
      </c>
      <c r="S767" s="26">
        <v>144388.5</v>
      </c>
      <c r="U767" s="26">
        <v>146422</v>
      </c>
      <c r="V767" s="244">
        <v>5509</v>
      </c>
      <c r="W767" s="16">
        <f>U767+V767</f>
        <v>151931</v>
      </c>
      <c r="X767" s="122">
        <f>IF(U767=0," ",(W767-U767)/U767)</f>
        <v>3.762412752182049E-2</v>
      </c>
      <c r="Z767" s="117">
        <f>W767</f>
        <v>151931</v>
      </c>
      <c r="AA767" s="117">
        <v>151931</v>
      </c>
      <c r="AC767" s="259" t="s">
        <v>687</v>
      </c>
      <c r="AE767" s="26">
        <v>151931</v>
      </c>
      <c r="AF767" s="200">
        <v>150075.31</v>
      </c>
      <c r="AH767" s="26">
        <v>151931</v>
      </c>
      <c r="AI767" s="244">
        <v>8765</v>
      </c>
      <c r="AJ767" s="16">
        <f>AH767+AI767</f>
        <v>160696</v>
      </c>
      <c r="AK767" s="122">
        <f>IF(AH767=0," ",(AJ767-AH767)/AH767)</f>
        <v>5.7690662208502545E-2</v>
      </c>
      <c r="AM767" s="117">
        <v>160696</v>
      </c>
      <c r="AN767" s="117">
        <v>160696</v>
      </c>
      <c r="AP767" s="259" t="s">
        <v>836</v>
      </c>
      <c r="AR767" s="26">
        <v>160696</v>
      </c>
      <c r="AS767" s="26">
        <v>159402.82</v>
      </c>
      <c r="AU767" s="26">
        <f>AR767</f>
        <v>160696</v>
      </c>
      <c r="AV767" s="244">
        <v>6447</v>
      </c>
      <c r="AW767" s="16">
        <f>AU767+AV767</f>
        <v>167143</v>
      </c>
      <c r="AX767" s="122">
        <f>IF(AU767=0," ",(AW767-AU767)/AU767)</f>
        <v>4.0119231343655103E-2</v>
      </c>
      <c r="AZ767" s="117">
        <f>40018+35787+35832+20390+17507+16950</f>
        <v>166484</v>
      </c>
      <c r="BA767" s="117">
        <v>163862</v>
      </c>
      <c r="BC767" s="259" t="s">
        <v>1013</v>
      </c>
      <c r="BE767" s="26">
        <v>163862</v>
      </c>
      <c r="BF767" s="26">
        <v>160870.39000000001</v>
      </c>
      <c r="BH767" s="26">
        <v>163862</v>
      </c>
      <c r="BI767" s="244">
        <v>3557</v>
      </c>
      <c r="BJ767" s="16">
        <f>BH767+BI767</f>
        <v>167419</v>
      </c>
      <c r="BK767" s="122">
        <f>IF(BH767=0," ",(BJ767-BH767)/BH767)</f>
        <v>2.1707290280846076E-2</v>
      </c>
      <c r="BM767" s="117">
        <v>167419</v>
      </c>
      <c r="BN767" s="117">
        <v>167419</v>
      </c>
      <c r="BP767" s="428" t="s">
        <v>1013</v>
      </c>
      <c r="BR767" s="117">
        <v>167419</v>
      </c>
      <c r="BS767" s="26">
        <v>72165.320000000007</v>
      </c>
      <c r="BU767" s="26">
        <v>167419</v>
      </c>
      <c r="BV767" s="244">
        <v>1954</v>
      </c>
      <c r="BW767" s="576">
        <f>BU767+BV767</f>
        <v>169373</v>
      </c>
      <c r="BX767" s="577">
        <f>IF(BU767=0," ",(BW767-BU767)/BU767)</f>
        <v>1.1671315681015895E-2</v>
      </c>
      <c r="BZ767" s="166">
        <v>169373</v>
      </c>
      <c r="CA767" s="166">
        <v>169373</v>
      </c>
      <c r="CC767" s="765" t="s">
        <v>1013</v>
      </c>
      <c r="CE767" s="166">
        <v>169373</v>
      </c>
      <c r="CF767" s="166"/>
      <c r="CL767" s="3">
        <v>36606</v>
      </c>
      <c r="CM767" s="3" t="s">
        <v>1540</v>
      </c>
      <c r="CO767" s="16"/>
    </row>
    <row r="768" spans="1:93" x14ac:dyDescent="0.3">
      <c r="A768" s="11">
        <v>610</v>
      </c>
      <c r="B768" s="3" t="s">
        <v>2</v>
      </c>
      <c r="C768" s="37">
        <v>61002</v>
      </c>
      <c r="D768" s="37">
        <v>51490</v>
      </c>
      <c r="E768" s="49" t="s">
        <v>11</v>
      </c>
      <c r="F768" s="3" t="s">
        <v>2</v>
      </c>
      <c r="G768" s="3" t="s">
        <v>443</v>
      </c>
      <c r="H768" s="26">
        <v>1570</v>
      </c>
      <c r="I768" s="245"/>
      <c r="J768" s="16">
        <f>H768+I768</f>
        <v>1570</v>
      </c>
      <c r="K768" s="122">
        <f>IF(H768=0," ",(J768-H768)/H768)</f>
        <v>0</v>
      </c>
      <c r="M768" s="118">
        <v>1570</v>
      </c>
      <c r="N768" s="118">
        <v>1570</v>
      </c>
      <c r="P768" s="137"/>
      <c r="R768" s="144">
        <v>1570</v>
      </c>
      <c r="S768" s="144">
        <v>1568.75</v>
      </c>
      <c r="U768" s="144">
        <v>1570</v>
      </c>
      <c r="V768" s="245"/>
      <c r="W768" s="16">
        <f>U768+V768</f>
        <v>1570</v>
      </c>
      <c r="X768" s="122">
        <f>IF(U768=0," ",(W768-U768)/U768)</f>
        <v>0</v>
      </c>
      <c r="Z768" s="117">
        <f>W768</f>
        <v>1570</v>
      </c>
      <c r="AA768" s="117">
        <v>1570</v>
      </c>
      <c r="AC768" s="137"/>
      <c r="AE768" s="26">
        <v>1570</v>
      </c>
      <c r="AF768" s="200">
        <v>1568.75</v>
      </c>
      <c r="AH768" s="26">
        <v>1570</v>
      </c>
      <c r="AI768" s="245">
        <v>103</v>
      </c>
      <c r="AJ768" s="16">
        <f>AH768+AI768</f>
        <v>1673</v>
      </c>
      <c r="AK768" s="122">
        <f>IF(AH768=0," ",(AJ768-AH768)/AH768)</f>
        <v>6.5605095541401273E-2</v>
      </c>
      <c r="AM768" s="117">
        <v>1673</v>
      </c>
      <c r="AN768" s="117">
        <v>1673</v>
      </c>
      <c r="AP768" s="259" t="s">
        <v>841</v>
      </c>
      <c r="AR768" s="26">
        <v>1673</v>
      </c>
      <c r="AS768" s="26">
        <v>1673</v>
      </c>
      <c r="AU768" s="26">
        <f>AR768</f>
        <v>1673</v>
      </c>
      <c r="AV768" s="245"/>
      <c r="AW768" s="16">
        <f>AU768+AV768</f>
        <v>1673</v>
      </c>
      <c r="AX768" s="122">
        <f>IF(AU768=0," ",(AW768-AU768)/AU768)</f>
        <v>0</v>
      </c>
      <c r="AZ768" s="117">
        <v>1673</v>
      </c>
      <c r="BA768" s="117">
        <v>1673</v>
      </c>
      <c r="BC768" s="259" t="s">
        <v>841</v>
      </c>
      <c r="BE768" s="26">
        <v>1673</v>
      </c>
      <c r="BF768" s="26">
        <v>1673</v>
      </c>
      <c r="BH768" s="26">
        <v>1673</v>
      </c>
      <c r="BI768" s="245">
        <v>200</v>
      </c>
      <c r="BJ768" s="16">
        <f>BH768+BI768</f>
        <v>1873</v>
      </c>
      <c r="BK768" s="122">
        <f>IF(BH768=0," ",(BJ768-BH768)/BH768)</f>
        <v>0.11954572624028691</v>
      </c>
      <c r="BM768" s="117">
        <v>1873</v>
      </c>
      <c r="BN768" s="117">
        <v>1873</v>
      </c>
      <c r="BP768" s="259" t="s">
        <v>841</v>
      </c>
      <c r="BR768" s="117">
        <v>1873</v>
      </c>
      <c r="BS768" s="26">
        <v>1873</v>
      </c>
      <c r="BU768" s="26">
        <v>1873</v>
      </c>
      <c r="BV768" s="245"/>
      <c r="BW768" s="576">
        <f>BU768+BV768</f>
        <v>1873</v>
      </c>
      <c r="BX768" s="577">
        <f>IF(BU768=0," ",(BW768-BU768)/BU768)</f>
        <v>0</v>
      </c>
      <c r="BZ768" s="166">
        <v>1873</v>
      </c>
      <c r="CA768" s="166">
        <v>1873</v>
      </c>
      <c r="CC768" s="753"/>
      <c r="CE768" s="166">
        <v>1873</v>
      </c>
      <c r="CF768" s="166"/>
      <c r="CL768" s="3">
        <v>40998</v>
      </c>
      <c r="CM768" s="3" t="s">
        <v>1541</v>
      </c>
      <c r="CO768" s="16"/>
    </row>
    <row r="769" spans="1:93" x14ac:dyDescent="0.3">
      <c r="A769" s="12"/>
      <c r="H769" s="32">
        <f t="shared" ref="H769" si="386">SUM(H766:H768)</f>
        <v>189956</v>
      </c>
      <c r="I769" s="145">
        <f>SUM(I766:I768)</f>
        <v>2535</v>
      </c>
      <c r="J769" s="32">
        <f>SUM(J766:J768)</f>
        <v>192491</v>
      </c>
      <c r="K769" s="128">
        <f>IF(H769=0," ",(J769-H769)/H769)</f>
        <v>1.3345195729537367E-2</v>
      </c>
      <c r="M769" s="145">
        <f>SUM(M766:M768)</f>
        <v>192491</v>
      </c>
      <c r="N769" s="145">
        <f>SUM(N766:N768)</f>
        <v>192491</v>
      </c>
      <c r="P769" s="141">
        <f>SUM(P766:P768)</f>
        <v>0</v>
      </c>
      <c r="R769" s="145">
        <f>SUM(R766:R768)</f>
        <v>192491</v>
      </c>
      <c r="S769" s="32">
        <f>SUM(S766:S768)</f>
        <v>188261.48</v>
      </c>
      <c r="U769" s="145">
        <f>SUM(U766:U768)</f>
        <v>192491</v>
      </c>
      <c r="V769" s="145">
        <f>SUM(V766:V768)</f>
        <v>5197</v>
      </c>
      <c r="W769" s="145">
        <f>SUM(W766:W768)</f>
        <v>197688</v>
      </c>
      <c r="X769" s="128">
        <f>IF(U769=0," ",(W769-U769)/U769)</f>
        <v>2.6998664872643397E-2</v>
      </c>
      <c r="Z769" s="32">
        <f>SUM(Z766:Z768)</f>
        <v>197688</v>
      </c>
      <c r="AA769" s="32">
        <f>SUM(AA766:AA768)</f>
        <v>197688</v>
      </c>
      <c r="AC769" s="141"/>
      <c r="AE769" s="32">
        <f>SUM(AE766:AE768)</f>
        <v>197688</v>
      </c>
      <c r="AF769" s="202">
        <f>SUM(AF766:AF768)</f>
        <v>195831.06</v>
      </c>
      <c r="AH769" s="145">
        <v>197688</v>
      </c>
      <c r="AI769" s="32">
        <f>SUM(AI766:AI768)</f>
        <v>11350</v>
      </c>
      <c r="AJ769" s="32">
        <f>SUM(AJ766:AJ768)</f>
        <v>209038</v>
      </c>
      <c r="AK769" s="128">
        <f>IF(AH769=0," ",(AJ769-AH769)/AH769)</f>
        <v>5.7413702399741008E-2</v>
      </c>
      <c r="AM769" s="32">
        <f>SUM(AM766:AM768)</f>
        <v>209038</v>
      </c>
      <c r="AN769" s="32">
        <f>SUM(AN766:AN768)</f>
        <v>209038</v>
      </c>
      <c r="AP769" s="141"/>
      <c r="AR769" s="32">
        <f>SUM(AR766:AR768)</f>
        <v>209038</v>
      </c>
      <c r="AS769" s="32">
        <f>SUM(AS766:AS768)</f>
        <v>207875.21000000002</v>
      </c>
      <c r="AU769" s="32">
        <f>SUM(AU766:AU768)</f>
        <v>209038</v>
      </c>
      <c r="AV769" s="32">
        <f>SUM(AV766:AV768)</f>
        <v>8442</v>
      </c>
      <c r="AW769" s="32">
        <f>SUM(AW766:AW768)</f>
        <v>217480</v>
      </c>
      <c r="AX769" s="128">
        <f>IF(AU769=0," ",(AW769-AU769)/AU769)</f>
        <v>4.0385001770013106E-2</v>
      </c>
      <c r="AZ769" s="32">
        <f>SUM(AZ766:AZ768)</f>
        <v>216625</v>
      </c>
      <c r="BA769" s="32">
        <f>SUM(BA766:BA768)</f>
        <v>213240</v>
      </c>
      <c r="BC769" s="141"/>
      <c r="BE769" s="32">
        <f>SUM(BE766:BE768)</f>
        <v>213240</v>
      </c>
      <c r="BF769" s="32">
        <f>SUM(BF766:BF768)</f>
        <v>210247.67</v>
      </c>
      <c r="BH769" s="32">
        <f>SUM(BH766:BH768)</f>
        <v>213240</v>
      </c>
      <c r="BI769" s="32">
        <f>SUM(BI766:BI768)</f>
        <v>4716</v>
      </c>
      <c r="BJ769" s="32">
        <f>SUM(BJ766:BJ768)</f>
        <v>217956</v>
      </c>
      <c r="BK769" s="128">
        <f>IF(BH769=0," ",(BJ769-BH769)/BH769)</f>
        <v>2.2115925717501407E-2</v>
      </c>
      <c r="BM769" s="32">
        <f>SUM(BM766:BM768)</f>
        <v>217956</v>
      </c>
      <c r="BN769" s="32">
        <f>SUM(BN766:BN768)</f>
        <v>217956</v>
      </c>
      <c r="BP769" s="141"/>
      <c r="BR769" s="32">
        <f>SUM(BR766:BR768)</f>
        <v>217956</v>
      </c>
      <c r="BS769" s="32">
        <f>SUM(BS766:BS768)</f>
        <v>95852.97</v>
      </c>
      <c r="BU769" s="32">
        <f>SUM(BU766:BU768)</f>
        <v>217956</v>
      </c>
      <c r="BV769" s="32">
        <f>SUM(BV766:BV768)</f>
        <v>2933</v>
      </c>
      <c r="BW769" s="595">
        <f>SUM(BW766:BW768)</f>
        <v>220889</v>
      </c>
      <c r="BX769" s="596">
        <f>IF(BU769=0," ",(BW769-BU769)/BU769)</f>
        <v>1.3456844500724917E-2</v>
      </c>
      <c r="BZ769" s="595">
        <f>SUM(BZ766:BZ768)</f>
        <v>220889</v>
      </c>
      <c r="CA769" s="595">
        <f>SUM(CA766:CA768)</f>
        <v>220889</v>
      </c>
      <c r="CC769" s="770"/>
      <c r="CE769" s="595">
        <f>SUM(CE766:CE768)</f>
        <v>220889</v>
      </c>
      <c r="CF769" s="595">
        <f>SUM(CF766:CF768)</f>
        <v>0</v>
      </c>
      <c r="CL769" s="829">
        <f>SUM(CL763:CL768)</f>
        <v>169373</v>
      </c>
      <c r="CO769" s="16"/>
    </row>
    <row r="770" spans="1:93" x14ac:dyDescent="0.3">
      <c r="AS770" s="16"/>
      <c r="CO770" s="16"/>
    </row>
    <row r="771" spans="1:93" s="19" customFormat="1" x14ac:dyDescent="0.3">
      <c r="A771" s="27"/>
      <c r="B771" s="8"/>
      <c r="C771" s="42"/>
      <c r="D771" s="42"/>
      <c r="E771" s="54"/>
      <c r="F771" s="8"/>
      <c r="G771" s="57" t="s">
        <v>220</v>
      </c>
      <c r="H771" s="28">
        <f t="shared" ref="H771" si="387">H764+H769</f>
        <v>421074</v>
      </c>
      <c r="I771" s="28">
        <f>I764+I769</f>
        <v>11909</v>
      </c>
      <c r="J771" s="28">
        <f>J764+J769</f>
        <v>432983</v>
      </c>
      <c r="K771" s="123">
        <f>IF(H771=0," ",(J771-H771)/H771)</f>
        <v>2.8282439666186942E-2</v>
      </c>
      <c r="M771" s="28">
        <f>M764+M769</f>
        <v>432983</v>
      </c>
      <c r="N771" s="28">
        <f>N764+N769</f>
        <v>432983</v>
      </c>
      <c r="P771" s="139">
        <f>P764+P769</f>
        <v>0</v>
      </c>
      <c r="R771" s="28">
        <f>R764+R769</f>
        <v>432983</v>
      </c>
      <c r="S771" s="28">
        <f>S764+S769</f>
        <v>430162.99000000005</v>
      </c>
      <c r="U771" s="28">
        <f>U764+U769</f>
        <v>432983</v>
      </c>
      <c r="V771" s="28">
        <f>V764+V769</f>
        <v>19621</v>
      </c>
      <c r="W771" s="28">
        <f>W764+W769</f>
        <v>452604</v>
      </c>
      <c r="X771" s="123">
        <f>IF(U771=0," ",(W771-U771)/U771)</f>
        <v>4.5315866904705265E-2</v>
      </c>
      <c r="Z771" s="28">
        <f>Z764+Z769</f>
        <v>452604</v>
      </c>
      <c r="AA771" s="28">
        <f>AA764+AA769</f>
        <v>452604</v>
      </c>
      <c r="AC771" s="139"/>
      <c r="AE771" s="28">
        <f>AE764+AE769</f>
        <v>452604</v>
      </c>
      <c r="AF771" s="201">
        <f>AF764+AF769</f>
        <v>450745.59999999998</v>
      </c>
      <c r="AH771" s="28">
        <v>452604</v>
      </c>
      <c r="AI771" s="28">
        <f>AI764+AI769</f>
        <v>25586</v>
      </c>
      <c r="AJ771" s="28">
        <f>AJ764+AJ769</f>
        <v>478190</v>
      </c>
      <c r="AK771" s="123">
        <f>IF(AH771=0," ",(AJ771-AH771)/AH771)</f>
        <v>5.6530653728203907E-2</v>
      </c>
      <c r="AM771" s="28">
        <f>AM764+AM769</f>
        <v>478190</v>
      </c>
      <c r="AN771" s="28">
        <f>AN764+AN769</f>
        <v>478190</v>
      </c>
      <c r="AP771" s="139"/>
      <c r="AR771" s="28">
        <f>AR764+AR769</f>
        <v>478190</v>
      </c>
      <c r="AS771" s="28">
        <f>AS764+AS769</f>
        <v>477025.24000000005</v>
      </c>
      <c r="AU771" s="28">
        <f>AU764+AU769</f>
        <v>478190</v>
      </c>
      <c r="AV771" s="28">
        <f>AV764+AV769</f>
        <v>20221</v>
      </c>
      <c r="AW771" s="28">
        <f>AW764+AW769</f>
        <v>498411</v>
      </c>
      <c r="AX771" s="123">
        <f>IF(AU771=0," ",(AW771-AU771)/AU771)</f>
        <v>4.2286538823480206E-2</v>
      </c>
      <c r="AZ771" s="28">
        <f>AZ764+AZ769</f>
        <v>496457</v>
      </c>
      <c r="BA771" s="28">
        <f>BA764+BA769</f>
        <v>488691</v>
      </c>
      <c r="BC771" s="139"/>
      <c r="BE771" s="28">
        <f>BE764+BE769</f>
        <v>488691</v>
      </c>
      <c r="BF771" s="28">
        <f>BF764+BF769</f>
        <v>441063.19000000006</v>
      </c>
      <c r="BG771" s="9"/>
      <c r="BH771" s="28">
        <f>BH764+BH769</f>
        <v>488691</v>
      </c>
      <c r="BI771" s="28">
        <f>BI764+BI769</f>
        <v>-889</v>
      </c>
      <c r="BJ771" s="28">
        <f>BJ764+BJ769</f>
        <v>487802</v>
      </c>
      <c r="BK771" s="123">
        <f>IF(BH771=0," ",(BJ771-BH771)/BH771)</f>
        <v>-1.8191454313666508E-3</v>
      </c>
      <c r="BM771" s="28">
        <f>BM764+BM769</f>
        <v>487802</v>
      </c>
      <c r="BN771" s="28">
        <f>BN764+BN769</f>
        <v>487802</v>
      </c>
      <c r="BP771" s="139"/>
      <c r="BR771" s="28">
        <f>BR764+BR769</f>
        <v>487802</v>
      </c>
      <c r="BS771" s="28">
        <f>BS764+BS769</f>
        <v>207818.5</v>
      </c>
      <c r="BT771" s="9"/>
      <c r="BU771" s="28">
        <f>BU764+BU769</f>
        <v>487802</v>
      </c>
      <c r="BV771" s="532">
        <f>BV764+BV769</f>
        <v>2451</v>
      </c>
      <c r="BW771" s="591">
        <f>BW764+BW769</f>
        <v>490253</v>
      </c>
      <c r="BX771" s="579">
        <f>IF(BU771=0," ",(BW771-BU771)/BU771)</f>
        <v>5.0245796450199059E-3</v>
      </c>
      <c r="BY771" s="580"/>
      <c r="BZ771" s="591">
        <f>BZ764+BZ769</f>
        <v>490253</v>
      </c>
      <c r="CA771" s="591">
        <f>CA764+CA769</f>
        <v>490253</v>
      </c>
      <c r="CB771" s="580"/>
      <c r="CC771" s="769"/>
      <c r="CD771" s="580"/>
      <c r="CE771" s="591">
        <f>CE764+CE769</f>
        <v>490253</v>
      </c>
      <c r="CF771" s="591">
        <f>CF764+CF769</f>
        <v>0</v>
      </c>
      <c r="CG771" s="9"/>
      <c r="CH771" s="815"/>
      <c r="CI771" s="815"/>
      <c r="CJ771" s="887"/>
      <c r="CO771" s="16"/>
    </row>
    <row r="772" spans="1:93" x14ac:dyDescent="0.3">
      <c r="AS772" s="16"/>
      <c r="CO772" s="16"/>
    </row>
    <row r="773" spans="1:93" x14ac:dyDescent="0.3">
      <c r="A773" s="11">
        <v>610</v>
      </c>
      <c r="B773" s="3" t="s">
        <v>2</v>
      </c>
      <c r="C773" s="37">
        <v>61005</v>
      </c>
      <c r="D773" s="37">
        <v>52100</v>
      </c>
      <c r="E773" s="49" t="s">
        <v>118</v>
      </c>
      <c r="F773" s="3" t="s">
        <v>2</v>
      </c>
      <c r="G773" s="3" t="s">
        <v>941</v>
      </c>
      <c r="H773" s="26">
        <v>31000</v>
      </c>
      <c r="I773" s="244"/>
      <c r="J773" s="16">
        <f t="shared" ref="J773:J792" si="388">H773+I773</f>
        <v>31000</v>
      </c>
      <c r="K773" s="122">
        <f t="shared" ref="K773:K792" si="389">IF(H773=0," ",(J773-H773)/H773)</f>
        <v>0</v>
      </c>
      <c r="M773" s="117">
        <v>31000</v>
      </c>
      <c r="N773" s="117">
        <v>31000</v>
      </c>
      <c r="P773" s="259"/>
      <c r="R773" s="26">
        <v>31000</v>
      </c>
      <c r="S773" s="26">
        <v>28066.11</v>
      </c>
      <c r="U773" s="26">
        <v>31000</v>
      </c>
      <c r="V773" s="244"/>
      <c r="W773" s="16">
        <f t="shared" ref="W773:W792" si="390">U773+V773</f>
        <v>31000</v>
      </c>
      <c r="X773" s="122">
        <f t="shared" ref="X773:X792" si="391">IF(U773=0," ",(W773-U773)/U773)</f>
        <v>0</v>
      </c>
      <c r="Z773" s="117">
        <v>31000</v>
      </c>
      <c r="AA773" s="117">
        <v>31000</v>
      </c>
      <c r="AC773" s="259"/>
      <c r="AE773" s="26">
        <v>31000</v>
      </c>
      <c r="AF773" s="200">
        <v>28783.15</v>
      </c>
      <c r="AH773" s="26">
        <v>31000</v>
      </c>
      <c r="AI773" s="244"/>
      <c r="AJ773" s="16">
        <f t="shared" ref="AJ773:AJ792" si="392">AH773+AI773</f>
        <v>31000</v>
      </c>
      <c r="AK773" s="122">
        <f t="shared" ref="AK773:AK792" si="393">IF(AH773=0," ",(AJ773-AH773)/AH773)</f>
        <v>0</v>
      </c>
      <c r="AM773" s="117">
        <v>31000</v>
      </c>
      <c r="AN773" s="117">
        <v>31000</v>
      </c>
      <c r="AP773" s="259"/>
      <c r="AR773" s="26">
        <v>31000</v>
      </c>
      <c r="AS773" s="26">
        <v>25475.78</v>
      </c>
      <c r="AU773" s="26">
        <f t="shared" ref="AU773:AU778" si="394">AR773</f>
        <v>31000</v>
      </c>
      <c r="AV773" s="244"/>
      <c r="AW773" s="16">
        <f t="shared" ref="AW773:AW792" si="395">AU773+AV773</f>
        <v>31000</v>
      </c>
      <c r="AX773" s="122">
        <f t="shared" ref="AX773:AX792" si="396">IF(AU773=0," ",(AW773-AU773)/AU773)</f>
        <v>0</v>
      </c>
      <c r="AZ773" s="117">
        <v>31000</v>
      </c>
      <c r="BA773" s="117">
        <v>31000</v>
      </c>
      <c r="BC773" s="259"/>
      <c r="BE773" s="26">
        <v>31000</v>
      </c>
      <c r="BF773" s="26">
        <v>25207.1</v>
      </c>
      <c r="BH773" s="26">
        <v>31000</v>
      </c>
      <c r="BI773" s="244"/>
      <c r="BJ773" s="16">
        <f t="shared" ref="BJ773:BJ778" si="397">BH773+BI773</f>
        <v>31000</v>
      </c>
      <c r="BK773" s="122">
        <f t="shared" ref="BK773:BK778" si="398">IF(BH773=0," ",(BJ773-BH773)/BH773)</f>
        <v>0</v>
      </c>
      <c r="BM773" s="117">
        <v>31000</v>
      </c>
      <c r="BN773" s="117">
        <v>31000</v>
      </c>
      <c r="BP773" s="259"/>
      <c r="BR773" s="117">
        <v>31000</v>
      </c>
      <c r="BS773" s="26">
        <v>11189.12</v>
      </c>
      <c r="BU773" s="26">
        <v>31000</v>
      </c>
      <c r="BV773" s="244"/>
      <c r="BW773" s="576">
        <f t="shared" ref="BW773:BW778" si="399">BU773+BV773</f>
        <v>31000</v>
      </c>
      <c r="BX773" s="577">
        <f t="shared" ref="BX773:BX779" si="400">IF(BU773=0," ",(BW773-BU773)/BU773)</f>
        <v>0</v>
      </c>
      <c r="BZ773" s="166">
        <v>31000</v>
      </c>
      <c r="CA773" s="166">
        <v>31000</v>
      </c>
      <c r="CC773" s="753"/>
      <c r="CE773" s="166">
        <v>31000</v>
      </c>
      <c r="CF773" s="166"/>
      <c r="CO773" s="16"/>
    </row>
    <row r="774" spans="1:93" x14ac:dyDescent="0.3">
      <c r="A774" s="11">
        <v>610</v>
      </c>
      <c r="B774" s="3" t="s">
        <v>2</v>
      </c>
      <c r="C774" s="37">
        <v>61005</v>
      </c>
      <c r="D774" s="37">
        <v>52200</v>
      </c>
      <c r="E774" s="49" t="s">
        <v>118</v>
      </c>
      <c r="F774" s="3" t="s">
        <v>2</v>
      </c>
      <c r="G774" s="3" t="s">
        <v>942</v>
      </c>
      <c r="H774" s="26">
        <v>11000</v>
      </c>
      <c r="I774" s="244"/>
      <c r="J774" s="16">
        <f t="shared" si="388"/>
        <v>11000</v>
      </c>
      <c r="K774" s="122">
        <f t="shared" si="389"/>
        <v>0</v>
      </c>
      <c r="M774" s="117">
        <v>11000</v>
      </c>
      <c r="N774" s="117">
        <v>11000</v>
      </c>
      <c r="P774" s="259"/>
      <c r="R774" s="26">
        <v>11000</v>
      </c>
      <c r="S774" s="26">
        <v>7417.98</v>
      </c>
      <c r="U774" s="26">
        <v>11000</v>
      </c>
      <c r="V774" s="244"/>
      <c r="W774" s="16">
        <f t="shared" si="390"/>
        <v>11000</v>
      </c>
      <c r="X774" s="122">
        <f t="shared" si="391"/>
        <v>0</v>
      </c>
      <c r="Z774" s="117">
        <v>11000</v>
      </c>
      <c r="AA774" s="117">
        <v>11000</v>
      </c>
      <c r="AC774" s="259"/>
      <c r="AE774" s="26">
        <v>11000</v>
      </c>
      <c r="AF774" s="200">
        <v>8669.44</v>
      </c>
      <c r="AH774" s="26">
        <v>11000</v>
      </c>
      <c r="AI774" s="244"/>
      <c r="AJ774" s="16">
        <f t="shared" si="392"/>
        <v>11000</v>
      </c>
      <c r="AK774" s="122">
        <f t="shared" si="393"/>
        <v>0</v>
      </c>
      <c r="AM774" s="117">
        <v>11000</v>
      </c>
      <c r="AN774" s="117">
        <v>11000</v>
      </c>
      <c r="AP774" s="259"/>
      <c r="AR774" s="26">
        <v>11000</v>
      </c>
      <c r="AS774" s="26">
        <v>7364.45</v>
      </c>
      <c r="AU774" s="26">
        <f t="shared" si="394"/>
        <v>11000</v>
      </c>
      <c r="AV774" s="244"/>
      <c r="AW774" s="16">
        <f t="shared" si="395"/>
        <v>11000</v>
      </c>
      <c r="AX774" s="122">
        <f t="shared" si="396"/>
        <v>0</v>
      </c>
      <c r="AZ774" s="117">
        <v>11000</v>
      </c>
      <c r="BA774" s="117">
        <v>11000</v>
      </c>
      <c r="BC774" s="259"/>
      <c r="BE774" s="26">
        <v>11000</v>
      </c>
      <c r="BF774" s="26">
        <v>6712.69</v>
      </c>
      <c r="BH774" s="26">
        <v>11000</v>
      </c>
      <c r="BI774" s="244"/>
      <c r="BJ774" s="16">
        <f t="shared" si="397"/>
        <v>11000</v>
      </c>
      <c r="BK774" s="122">
        <f t="shared" si="398"/>
        <v>0</v>
      </c>
      <c r="BM774" s="117">
        <v>11000</v>
      </c>
      <c r="BN774" s="117">
        <v>11000</v>
      </c>
      <c r="BP774" s="259"/>
      <c r="BR774" s="117">
        <v>11000</v>
      </c>
      <c r="BS774" s="26">
        <v>1337.93</v>
      </c>
      <c r="BU774" s="26">
        <v>11000</v>
      </c>
      <c r="BV774" s="244"/>
      <c r="BW774" s="576">
        <f t="shared" si="399"/>
        <v>11000</v>
      </c>
      <c r="BX774" s="577">
        <f t="shared" si="400"/>
        <v>0</v>
      </c>
      <c r="BZ774" s="166">
        <v>11000</v>
      </c>
      <c r="CA774" s="166">
        <v>11000</v>
      </c>
      <c r="CC774" s="753"/>
      <c r="CE774" s="166">
        <v>11000</v>
      </c>
      <c r="CF774" s="166"/>
      <c r="CO774" s="16"/>
    </row>
    <row r="775" spans="1:93" x14ac:dyDescent="0.3">
      <c r="A775" s="11">
        <v>610</v>
      </c>
      <c r="B775" s="3" t="s">
        <v>2</v>
      </c>
      <c r="C775" s="37">
        <v>61005</v>
      </c>
      <c r="D775" s="37">
        <v>52300</v>
      </c>
      <c r="E775" s="49" t="s">
        <v>118</v>
      </c>
      <c r="F775" s="3" t="s">
        <v>2</v>
      </c>
      <c r="G775" s="3" t="s">
        <v>943</v>
      </c>
      <c r="H775" s="26">
        <v>400</v>
      </c>
      <c r="I775" s="244"/>
      <c r="J775" s="16">
        <f t="shared" si="388"/>
        <v>400</v>
      </c>
      <c r="K775" s="122">
        <f t="shared" si="389"/>
        <v>0</v>
      </c>
      <c r="M775" s="117">
        <v>400</v>
      </c>
      <c r="N775" s="117">
        <v>400</v>
      </c>
      <c r="P775" s="259"/>
      <c r="R775" s="26">
        <v>400</v>
      </c>
      <c r="S775" s="26">
        <v>564.5</v>
      </c>
      <c r="U775" s="26">
        <v>400</v>
      </c>
      <c r="V775" s="244"/>
      <c r="W775" s="16">
        <f t="shared" si="390"/>
        <v>400</v>
      </c>
      <c r="X775" s="122">
        <f t="shared" si="391"/>
        <v>0</v>
      </c>
      <c r="Z775" s="117">
        <v>400</v>
      </c>
      <c r="AA775" s="117">
        <v>400</v>
      </c>
      <c r="AC775" s="259"/>
      <c r="AE775" s="26">
        <v>400</v>
      </c>
      <c r="AF775" s="200">
        <v>669.35</v>
      </c>
      <c r="AH775" s="26">
        <v>400</v>
      </c>
      <c r="AI775" s="244"/>
      <c r="AJ775" s="16">
        <f t="shared" si="392"/>
        <v>400</v>
      </c>
      <c r="AK775" s="122">
        <f t="shared" si="393"/>
        <v>0</v>
      </c>
      <c r="AM775" s="117">
        <v>400</v>
      </c>
      <c r="AN775" s="117">
        <v>400</v>
      </c>
      <c r="AP775" s="259"/>
      <c r="AR775" s="26">
        <v>400</v>
      </c>
      <c r="AS775" s="26">
        <v>669</v>
      </c>
      <c r="AU775" s="26">
        <f t="shared" si="394"/>
        <v>400</v>
      </c>
      <c r="AV775" s="244"/>
      <c r="AW775" s="16">
        <f t="shared" si="395"/>
        <v>400</v>
      </c>
      <c r="AX775" s="122">
        <f t="shared" si="396"/>
        <v>0</v>
      </c>
      <c r="AZ775" s="117">
        <v>400</v>
      </c>
      <c r="BA775" s="117">
        <f>400+225</f>
        <v>625</v>
      </c>
      <c r="BC775" s="266" t="s">
        <v>999</v>
      </c>
      <c r="BE775" s="26">
        <f>400+225</f>
        <v>625</v>
      </c>
      <c r="BF775" s="26">
        <v>424.95</v>
      </c>
      <c r="BH775" s="26">
        <f>400+225</f>
        <v>625</v>
      </c>
      <c r="BI775" s="244"/>
      <c r="BJ775" s="16">
        <f t="shared" si="397"/>
        <v>625</v>
      </c>
      <c r="BK775" s="122">
        <f t="shared" si="398"/>
        <v>0</v>
      </c>
      <c r="BM775" s="117">
        <v>625</v>
      </c>
      <c r="BN775" s="117">
        <f>625+194</f>
        <v>819</v>
      </c>
      <c r="BP775" s="266" t="s">
        <v>1204</v>
      </c>
      <c r="BR775" s="117">
        <f>625+194</f>
        <v>819</v>
      </c>
      <c r="BS775" s="26">
        <v>147.97</v>
      </c>
      <c r="BU775" s="26">
        <f>625+194</f>
        <v>819</v>
      </c>
      <c r="BV775" s="244"/>
      <c r="BW775" s="576">
        <f t="shared" si="399"/>
        <v>819</v>
      </c>
      <c r="BX775" s="577">
        <f t="shared" si="400"/>
        <v>0</v>
      </c>
      <c r="BZ775" s="166">
        <v>819</v>
      </c>
      <c r="CA775" s="166">
        <v>819</v>
      </c>
      <c r="CC775" s="753"/>
      <c r="CE775" s="166">
        <v>819</v>
      </c>
      <c r="CF775" s="166"/>
      <c r="CO775" s="16"/>
    </row>
    <row r="776" spans="1:93" x14ac:dyDescent="0.3">
      <c r="A776" s="11">
        <v>610</v>
      </c>
      <c r="B776" s="3" t="s">
        <v>2</v>
      </c>
      <c r="C776" s="37">
        <v>61005</v>
      </c>
      <c r="D776" s="37">
        <v>52400</v>
      </c>
      <c r="E776" s="49" t="s">
        <v>118</v>
      </c>
      <c r="F776" s="3" t="s">
        <v>2</v>
      </c>
      <c r="G776" s="3" t="s">
        <v>944</v>
      </c>
      <c r="H776" s="26">
        <v>20229</v>
      </c>
      <c r="I776" s="244">
        <v>1641</v>
      </c>
      <c r="J776" s="16">
        <f t="shared" si="388"/>
        <v>21870</v>
      </c>
      <c r="K776" s="122">
        <f t="shared" si="389"/>
        <v>8.1121162687231199E-2</v>
      </c>
      <c r="M776" s="117">
        <v>21870</v>
      </c>
      <c r="N776" s="117">
        <v>21870</v>
      </c>
      <c r="P776" s="259"/>
      <c r="R776" s="26">
        <v>21870</v>
      </c>
      <c r="S776" s="26">
        <v>18048.419999999998</v>
      </c>
      <c r="U776" s="26">
        <v>21870</v>
      </c>
      <c r="V776" s="244"/>
      <c r="W776" s="16">
        <f t="shared" si="390"/>
        <v>21870</v>
      </c>
      <c r="X776" s="122">
        <f t="shared" si="391"/>
        <v>0</v>
      </c>
      <c r="Z776" s="117">
        <v>21870</v>
      </c>
      <c r="AA776" s="117">
        <f>21870+1426</f>
        <v>23296</v>
      </c>
      <c r="AC776" s="259" t="s">
        <v>758</v>
      </c>
      <c r="AE776" s="26">
        <f>21870+1426</f>
        <v>23296</v>
      </c>
      <c r="AF776" s="200">
        <v>18386.16</v>
      </c>
      <c r="AH776" s="26">
        <v>23296</v>
      </c>
      <c r="AI776" s="244"/>
      <c r="AJ776" s="16">
        <f t="shared" si="392"/>
        <v>23296</v>
      </c>
      <c r="AK776" s="122">
        <f t="shared" si="393"/>
        <v>0</v>
      </c>
      <c r="AM776" s="117">
        <f>23296+2298</f>
        <v>25594</v>
      </c>
      <c r="AN776" s="117">
        <f>23296+2298</f>
        <v>25594</v>
      </c>
      <c r="AO776" s="178"/>
      <c r="AP776" s="266" t="s">
        <v>840</v>
      </c>
      <c r="AR776" s="26">
        <f>23296+2298</f>
        <v>25594</v>
      </c>
      <c r="AS776" s="26">
        <v>20963.36</v>
      </c>
      <c r="AU776" s="26">
        <f t="shared" si="394"/>
        <v>25594</v>
      </c>
      <c r="AV776" s="244">
        <v>-4144</v>
      </c>
      <c r="AW776" s="16">
        <f t="shared" si="395"/>
        <v>21450</v>
      </c>
      <c r="AX776" s="122">
        <f t="shared" si="396"/>
        <v>-0.16191294834726888</v>
      </c>
      <c r="AZ776" s="117">
        <v>21450</v>
      </c>
      <c r="BA776" s="117">
        <v>21450</v>
      </c>
      <c r="BB776" s="178"/>
      <c r="BC776" s="266"/>
      <c r="BE776" s="26">
        <v>21450</v>
      </c>
      <c r="BF776" s="26">
        <v>14346.35</v>
      </c>
      <c r="BH776" s="26">
        <v>21450</v>
      </c>
      <c r="BI776" s="244"/>
      <c r="BJ776" s="16">
        <f t="shared" si="397"/>
        <v>21450</v>
      </c>
      <c r="BK776" s="122">
        <f t="shared" si="398"/>
        <v>0</v>
      </c>
      <c r="BM776" s="117">
        <v>21450</v>
      </c>
      <c r="BN776" s="117">
        <f>21450+1769</f>
        <v>23219</v>
      </c>
      <c r="BO776" s="178"/>
      <c r="BP776" s="266" t="s">
        <v>1205</v>
      </c>
      <c r="BR776" s="117">
        <f>21450+1769</f>
        <v>23219</v>
      </c>
      <c r="BS776" s="26">
        <v>8008.89</v>
      </c>
      <c r="BU776" s="26">
        <f>21450+1769</f>
        <v>23219</v>
      </c>
      <c r="BV776" s="244"/>
      <c r="BW776" s="576">
        <f t="shared" si="399"/>
        <v>23219</v>
      </c>
      <c r="BX776" s="577">
        <f t="shared" si="400"/>
        <v>0</v>
      </c>
      <c r="BZ776" s="166">
        <v>23219</v>
      </c>
      <c r="CA776" s="166">
        <v>23219</v>
      </c>
      <c r="CC776" s="753"/>
      <c r="CE776" s="166">
        <v>23219</v>
      </c>
      <c r="CF776" s="166"/>
      <c r="CO776" s="16"/>
    </row>
    <row r="777" spans="1:93" x14ac:dyDescent="0.3">
      <c r="A777" s="11">
        <v>610</v>
      </c>
      <c r="B777" s="3" t="s">
        <v>2</v>
      </c>
      <c r="C777" s="37">
        <v>61005</v>
      </c>
      <c r="D777" s="37">
        <v>52410</v>
      </c>
      <c r="E777" s="49" t="s">
        <v>118</v>
      </c>
      <c r="F777" s="3" t="s">
        <v>2</v>
      </c>
      <c r="G777" s="3" t="s">
        <v>444</v>
      </c>
      <c r="H777" s="26">
        <v>15400</v>
      </c>
      <c r="I777" s="244">
        <v>308</v>
      </c>
      <c r="J777" s="16">
        <f t="shared" si="388"/>
        <v>15708</v>
      </c>
      <c r="K777" s="122">
        <f t="shared" si="389"/>
        <v>0.02</v>
      </c>
      <c r="M777" s="117">
        <v>15708</v>
      </c>
      <c r="N777" s="117">
        <v>15708</v>
      </c>
      <c r="P777" s="259"/>
      <c r="R777" s="26">
        <v>15708</v>
      </c>
      <c r="S777" s="26">
        <v>15400</v>
      </c>
      <c r="U777" s="26">
        <v>15708</v>
      </c>
      <c r="V777" s="244"/>
      <c r="W777" s="16">
        <f t="shared" si="390"/>
        <v>15708</v>
      </c>
      <c r="X777" s="122">
        <f t="shared" si="391"/>
        <v>0</v>
      </c>
      <c r="Z777" s="117">
        <v>15708</v>
      </c>
      <c r="AA777" s="117">
        <v>15708</v>
      </c>
      <c r="AC777" s="259"/>
      <c r="AE777" s="26">
        <v>15708</v>
      </c>
      <c r="AF777" s="200">
        <v>15400</v>
      </c>
      <c r="AH777" s="26">
        <v>15708</v>
      </c>
      <c r="AI777" s="244"/>
      <c r="AJ777" s="16">
        <f t="shared" si="392"/>
        <v>15708</v>
      </c>
      <c r="AK777" s="122">
        <f t="shared" si="393"/>
        <v>0</v>
      </c>
      <c r="AM777" s="117">
        <v>15708</v>
      </c>
      <c r="AN777" s="117">
        <v>15708</v>
      </c>
      <c r="AP777" s="259"/>
      <c r="AR777" s="26">
        <v>15708</v>
      </c>
      <c r="AS777" s="26">
        <v>14400</v>
      </c>
      <c r="AU777" s="26">
        <f t="shared" si="394"/>
        <v>15708</v>
      </c>
      <c r="AV777" s="244"/>
      <c r="AW777" s="16">
        <f t="shared" si="395"/>
        <v>15708</v>
      </c>
      <c r="AX777" s="122">
        <f t="shared" si="396"/>
        <v>0</v>
      </c>
      <c r="AZ777" s="117">
        <v>15708</v>
      </c>
      <c r="BA777" s="117">
        <f>15708+2357</f>
        <v>18065</v>
      </c>
      <c r="BC777" s="266" t="s">
        <v>1000</v>
      </c>
      <c r="BE777" s="26">
        <f>15708+2357</f>
        <v>18065</v>
      </c>
      <c r="BF777" s="26">
        <v>14400</v>
      </c>
      <c r="BH777" s="26">
        <f>15708+2357</f>
        <v>18065</v>
      </c>
      <c r="BI777" s="244"/>
      <c r="BJ777" s="16">
        <f t="shared" si="397"/>
        <v>18065</v>
      </c>
      <c r="BK777" s="122">
        <f t="shared" si="398"/>
        <v>0</v>
      </c>
      <c r="BM777" s="117">
        <v>18065</v>
      </c>
      <c r="BN777" s="117">
        <v>18065</v>
      </c>
      <c r="BP777" s="259"/>
      <c r="BR777" s="117">
        <v>18065</v>
      </c>
      <c r="BS777" s="26">
        <v>7200</v>
      </c>
      <c r="BU777" s="26">
        <v>18065</v>
      </c>
      <c r="BV777" s="244"/>
      <c r="BW777" s="576">
        <f t="shared" si="399"/>
        <v>18065</v>
      </c>
      <c r="BX777" s="577">
        <f t="shared" si="400"/>
        <v>0</v>
      </c>
      <c r="BZ777" s="166">
        <v>18065</v>
      </c>
      <c r="CA777" s="166">
        <v>18065</v>
      </c>
      <c r="CC777" s="753"/>
      <c r="CE777" s="166">
        <v>18065</v>
      </c>
      <c r="CF777" s="166"/>
      <c r="CO777" s="16"/>
    </row>
    <row r="778" spans="1:93" x14ac:dyDescent="0.3">
      <c r="A778" s="11">
        <v>610</v>
      </c>
      <c r="B778" s="3" t="s">
        <v>2</v>
      </c>
      <c r="C778" s="37">
        <v>61005</v>
      </c>
      <c r="D778" s="37">
        <v>52500</v>
      </c>
      <c r="E778" s="49" t="s">
        <v>118</v>
      </c>
      <c r="F778" s="3" t="s">
        <v>2</v>
      </c>
      <c r="G778" s="3" t="s">
        <v>945</v>
      </c>
      <c r="H778" s="26">
        <v>14700</v>
      </c>
      <c r="I778" s="244">
        <v>1700</v>
      </c>
      <c r="J778" s="16">
        <f t="shared" si="388"/>
        <v>16400</v>
      </c>
      <c r="K778" s="122">
        <f t="shared" si="389"/>
        <v>0.11564625850340136</v>
      </c>
      <c r="M778" s="117">
        <v>16400</v>
      </c>
      <c r="N778" s="117">
        <v>16400</v>
      </c>
      <c r="P778" s="259"/>
      <c r="R778" s="26">
        <v>16400</v>
      </c>
      <c r="S778" s="26">
        <v>25010.17</v>
      </c>
      <c r="U778" s="26">
        <v>16400</v>
      </c>
      <c r="V778" s="244"/>
      <c r="W778" s="16">
        <f t="shared" si="390"/>
        <v>16400</v>
      </c>
      <c r="X778" s="122">
        <f t="shared" si="391"/>
        <v>0</v>
      </c>
      <c r="Z778" s="117">
        <v>16400</v>
      </c>
      <c r="AA778" s="117">
        <f>16400+300</f>
        <v>16700</v>
      </c>
      <c r="AC778" s="259" t="s">
        <v>759</v>
      </c>
      <c r="AE778" s="26">
        <f>16400+300</f>
        <v>16700</v>
      </c>
      <c r="AF778" s="200">
        <v>21759.18</v>
      </c>
      <c r="AH778" s="26">
        <v>16700</v>
      </c>
      <c r="AI778" s="244"/>
      <c r="AJ778" s="16">
        <f t="shared" si="392"/>
        <v>16700</v>
      </c>
      <c r="AK778" s="122">
        <f t="shared" si="393"/>
        <v>0</v>
      </c>
      <c r="AM778" s="117">
        <f>16700+1000</f>
        <v>17700</v>
      </c>
      <c r="AN778" s="117">
        <f>16700+1000</f>
        <v>17700</v>
      </c>
      <c r="AO778" s="178"/>
      <c r="AP778" s="266" t="s">
        <v>823</v>
      </c>
      <c r="AR778" s="26">
        <f>16700+1000</f>
        <v>17700</v>
      </c>
      <c r="AS778" s="26">
        <v>23962.639999999999</v>
      </c>
      <c r="AU778" s="26">
        <f t="shared" si="394"/>
        <v>17700</v>
      </c>
      <c r="AV778" s="244">
        <v>4144</v>
      </c>
      <c r="AW778" s="16">
        <f t="shared" si="395"/>
        <v>21844</v>
      </c>
      <c r="AX778" s="122">
        <f t="shared" si="396"/>
        <v>0.23412429378531074</v>
      </c>
      <c r="AZ778" s="117">
        <v>21844</v>
      </c>
      <c r="BA778" s="117">
        <f>21844+9606</f>
        <v>31450</v>
      </c>
      <c r="BB778" s="178"/>
      <c r="BC778" s="266" t="s">
        <v>1001</v>
      </c>
      <c r="BE778" s="26">
        <f>21844+9606</f>
        <v>31450</v>
      </c>
      <c r="BF778" s="26">
        <v>33286.67</v>
      </c>
      <c r="BH778" s="26">
        <f>21844+9606</f>
        <v>31450</v>
      </c>
      <c r="BI778" s="244">
        <v>-12000</v>
      </c>
      <c r="BJ778" s="16">
        <f t="shared" si="397"/>
        <v>19450</v>
      </c>
      <c r="BK778" s="122">
        <f t="shared" si="398"/>
        <v>-0.38155802861685217</v>
      </c>
      <c r="BM778" s="117">
        <v>19450</v>
      </c>
      <c r="BN778" s="117">
        <v>19450</v>
      </c>
      <c r="BO778" s="178"/>
      <c r="BP778" s="259" t="s">
        <v>1127</v>
      </c>
      <c r="BR778" s="117">
        <v>19450</v>
      </c>
      <c r="BS778" s="26">
        <v>13414.75</v>
      </c>
      <c r="BU778" s="26">
        <v>19450</v>
      </c>
      <c r="BV778" s="244"/>
      <c r="BW778" s="576">
        <f t="shared" si="399"/>
        <v>19450</v>
      </c>
      <c r="BX778" s="577">
        <f t="shared" si="400"/>
        <v>0</v>
      </c>
      <c r="BZ778" s="166">
        <v>19450</v>
      </c>
      <c r="CA778" s="166">
        <v>30650</v>
      </c>
      <c r="CC778" s="430" t="s">
        <v>1371</v>
      </c>
      <c r="CE778" s="247">
        <f>19450+11200</f>
        <v>30650</v>
      </c>
      <c r="CF778" s="166"/>
      <c r="CH778" s="813">
        <v>11200</v>
      </c>
      <c r="CO778" s="16"/>
    </row>
    <row r="779" spans="1:93" x14ac:dyDescent="0.3">
      <c r="A779" s="11">
        <v>610</v>
      </c>
      <c r="B779" s="3" t="s">
        <v>2</v>
      </c>
      <c r="C779" s="304">
        <v>61005</v>
      </c>
      <c r="D779" s="304">
        <v>53045</v>
      </c>
      <c r="E779" s="338" t="s">
        <v>118</v>
      </c>
      <c r="F779" s="339"/>
      <c r="G779" s="339" t="s">
        <v>1002</v>
      </c>
      <c r="H779" s="26"/>
      <c r="I779" s="244"/>
      <c r="M779" s="117"/>
      <c r="N779" s="117"/>
      <c r="P779" s="259"/>
      <c r="R779" s="26"/>
      <c r="S779" s="26"/>
      <c r="U779" s="26"/>
      <c r="V779" s="244"/>
      <c r="Z779" s="117"/>
      <c r="AA779" s="117"/>
      <c r="AC779" s="259"/>
      <c r="AE779" s="26"/>
      <c r="AF779" s="200"/>
      <c r="AH779" s="26"/>
      <c r="AI779" s="244"/>
      <c r="AM779" s="117"/>
      <c r="AN779" s="117"/>
      <c r="AP779" s="259"/>
      <c r="AR779" s="26"/>
      <c r="AS779" s="26">
        <v>7967.28</v>
      </c>
      <c r="AU779" s="26"/>
      <c r="AV779" s="244">
        <v>2166</v>
      </c>
      <c r="AW779" s="16">
        <f>AU779+AV779</f>
        <v>2166</v>
      </c>
      <c r="AZ779" s="117">
        <v>2166</v>
      </c>
      <c r="BA779" s="117">
        <f>2166+4039</f>
        <v>6205</v>
      </c>
      <c r="BC779" s="266" t="s">
        <v>1003</v>
      </c>
      <c r="BE779" s="26">
        <f>2166+4039</f>
        <v>6205</v>
      </c>
      <c r="BF779" s="26">
        <v>7582.83</v>
      </c>
      <c r="BH779" s="26">
        <f>2166+4039</f>
        <v>6205</v>
      </c>
      <c r="BI779" s="244"/>
      <c r="BJ779" s="16">
        <f>BH779+BI779</f>
        <v>6205</v>
      </c>
      <c r="BM779" s="117">
        <v>6205</v>
      </c>
      <c r="BN779" s="117">
        <f>6205+124</f>
        <v>6329</v>
      </c>
      <c r="BP779" s="266" t="s">
        <v>1206</v>
      </c>
      <c r="BR779" s="117">
        <f>6205+124</f>
        <v>6329</v>
      </c>
      <c r="BS779" s="26">
        <v>6468.67</v>
      </c>
      <c r="BU779" s="26">
        <f>6205+124</f>
        <v>6329</v>
      </c>
      <c r="BV779" s="244"/>
      <c r="BW779" s="576">
        <f>BU779+BV779</f>
        <v>6329</v>
      </c>
      <c r="BX779" s="577">
        <f t="shared" si="400"/>
        <v>0</v>
      </c>
      <c r="BZ779" s="166">
        <v>6329</v>
      </c>
      <c r="CA779" s="166">
        <v>6641</v>
      </c>
      <c r="CC779" s="430" t="s">
        <v>1370</v>
      </c>
      <c r="CE779" s="247">
        <f>6329+312</f>
        <v>6641</v>
      </c>
      <c r="CF779" s="166"/>
      <c r="CH779" s="813">
        <v>312</v>
      </c>
      <c r="CO779" s="16"/>
    </row>
    <row r="780" spans="1:93" x14ac:dyDescent="0.3">
      <c r="A780" s="11">
        <v>610</v>
      </c>
      <c r="B780" s="3" t="s">
        <v>2</v>
      </c>
      <c r="C780" s="37">
        <v>61005</v>
      </c>
      <c r="D780" s="37">
        <v>53053</v>
      </c>
      <c r="E780" s="49" t="s">
        <v>118</v>
      </c>
      <c r="F780" s="3" t="s">
        <v>2</v>
      </c>
      <c r="G780" s="3" t="s">
        <v>445</v>
      </c>
      <c r="H780" s="26">
        <v>19500</v>
      </c>
      <c r="I780" s="244"/>
      <c r="J780" s="16">
        <f t="shared" si="388"/>
        <v>19500</v>
      </c>
      <c r="K780" s="122">
        <f t="shared" si="389"/>
        <v>0</v>
      </c>
      <c r="M780" s="117">
        <v>19500</v>
      </c>
      <c r="N780" s="117">
        <v>19500</v>
      </c>
      <c r="P780" s="259"/>
      <c r="R780" s="26">
        <v>19500</v>
      </c>
      <c r="S780" s="26">
        <v>17959</v>
      </c>
      <c r="U780" s="26">
        <v>19500</v>
      </c>
      <c r="V780" s="244"/>
      <c r="W780" s="16">
        <f t="shared" si="390"/>
        <v>19500</v>
      </c>
      <c r="X780" s="122">
        <f t="shared" si="391"/>
        <v>0</v>
      </c>
      <c r="Z780" s="117">
        <v>19500</v>
      </c>
      <c r="AA780" s="117">
        <f>19500+308</f>
        <v>19808</v>
      </c>
      <c r="AC780" s="259" t="s">
        <v>760</v>
      </c>
      <c r="AE780" s="26">
        <f>19500+308</f>
        <v>19808</v>
      </c>
      <c r="AF780" s="200">
        <v>17658</v>
      </c>
      <c r="AH780" s="26">
        <v>19808</v>
      </c>
      <c r="AI780" s="244">
        <v>-808</v>
      </c>
      <c r="AJ780" s="16">
        <f t="shared" si="392"/>
        <v>19000</v>
      </c>
      <c r="AK780" s="122">
        <f t="shared" si="393"/>
        <v>-4.0791599353796448E-2</v>
      </c>
      <c r="AM780" s="117">
        <v>19000</v>
      </c>
      <c r="AN780" s="117">
        <v>19000</v>
      </c>
      <c r="AO780" s="178"/>
      <c r="AP780" s="266"/>
      <c r="AR780" s="26">
        <v>19000</v>
      </c>
      <c r="AS780" s="26">
        <v>18108</v>
      </c>
      <c r="AU780" s="26">
        <f t="shared" ref="AU780:AU792" si="401">AR780</f>
        <v>19000</v>
      </c>
      <c r="AV780" s="244"/>
      <c r="AW780" s="16">
        <f t="shared" si="395"/>
        <v>19000</v>
      </c>
      <c r="AX780" s="122">
        <f t="shared" si="396"/>
        <v>0</v>
      </c>
      <c r="AZ780" s="117">
        <v>19000</v>
      </c>
      <c r="BA780" s="117">
        <v>19000</v>
      </c>
      <c r="BB780" s="178"/>
      <c r="BC780" s="266"/>
      <c r="BE780" s="26">
        <v>19000</v>
      </c>
      <c r="BF780" s="26">
        <v>17010</v>
      </c>
      <c r="BH780" s="26">
        <v>19000</v>
      </c>
      <c r="BI780" s="244"/>
      <c r="BJ780" s="16">
        <f t="shared" ref="BJ780:BJ792" si="402">BH780+BI780</f>
        <v>19000</v>
      </c>
      <c r="BK780" s="122">
        <f t="shared" ref="BK780:BK792" si="403">IF(BH780=0," ",(BJ780-BH780)/BH780)</f>
        <v>0</v>
      </c>
      <c r="BM780" s="117">
        <v>19000</v>
      </c>
      <c r="BN780" s="117">
        <v>19000</v>
      </c>
      <c r="BO780" s="178"/>
      <c r="BP780" s="259"/>
      <c r="BR780" s="117">
        <v>19000</v>
      </c>
      <c r="BS780" s="26">
        <v>17010</v>
      </c>
      <c r="BU780" s="26">
        <v>19000</v>
      </c>
      <c r="BV780" s="244"/>
      <c r="BW780" s="576">
        <f t="shared" ref="BW780:BW792" si="404">BU780+BV780</f>
        <v>19000</v>
      </c>
      <c r="BX780" s="577">
        <f t="shared" ref="BX780:BX792" si="405">IF(BU780=0," ",(BW780-BU780)/BU780)</f>
        <v>0</v>
      </c>
      <c r="BZ780" s="166">
        <v>19000</v>
      </c>
      <c r="CA780" s="166">
        <v>19000</v>
      </c>
      <c r="CC780" s="753"/>
      <c r="CE780" s="166">
        <v>19000</v>
      </c>
      <c r="CF780" s="166"/>
      <c r="CO780" s="16"/>
    </row>
    <row r="781" spans="1:93" x14ac:dyDescent="0.3">
      <c r="A781" s="11">
        <v>610</v>
      </c>
      <c r="B781" s="3" t="s">
        <v>2</v>
      </c>
      <c r="C781" s="37">
        <v>61005</v>
      </c>
      <c r="D781" s="37">
        <v>53400</v>
      </c>
      <c r="E781" s="49" t="s">
        <v>118</v>
      </c>
      <c r="F781" s="3" t="s">
        <v>2</v>
      </c>
      <c r="G781" s="3" t="s">
        <v>446</v>
      </c>
      <c r="H781" s="26">
        <v>900</v>
      </c>
      <c r="I781" s="244"/>
      <c r="J781" s="16">
        <f t="shared" si="388"/>
        <v>900</v>
      </c>
      <c r="K781" s="122">
        <f t="shared" si="389"/>
        <v>0</v>
      </c>
      <c r="M781" s="117">
        <v>900</v>
      </c>
      <c r="N781" s="117">
        <v>900</v>
      </c>
      <c r="P781" s="259"/>
      <c r="R781" s="26">
        <v>900</v>
      </c>
      <c r="S781" s="26">
        <v>952.84</v>
      </c>
      <c r="U781" s="26">
        <v>900</v>
      </c>
      <c r="V781" s="244"/>
      <c r="W781" s="16">
        <f t="shared" si="390"/>
        <v>900</v>
      </c>
      <c r="X781" s="122">
        <f t="shared" si="391"/>
        <v>0</v>
      </c>
      <c r="Z781" s="117">
        <v>900</v>
      </c>
      <c r="AA781" s="117">
        <v>900</v>
      </c>
      <c r="AC781" s="259"/>
      <c r="AE781" s="26">
        <v>900</v>
      </c>
      <c r="AF781" s="200">
        <v>989.85</v>
      </c>
      <c r="AH781" s="26">
        <v>900</v>
      </c>
      <c r="AI781" s="244">
        <v>72</v>
      </c>
      <c r="AJ781" s="16">
        <f t="shared" si="392"/>
        <v>972</v>
      </c>
      <c r="AK781" s="122">
        <f t="shared" si="393"/>
        <v>0.08</v>
      </c>
      <c r="AM781" s="117">
        <v>972</v>
      </c>
      <c r="AN781" s="117">
        <v>972</v>
      </c>
      <c r="AP781" s="266"/>
      <c r="AR781" s="26">
        <v>972</v>
      </c>
      <c r="AS781" s="26">
        <v>979.63</v>
      </c>
      <c r="AU781" s="26">
        <f t="shared" si="401"/>
        <v>972</v>
      </c>
      <c r="AV781" s="244">
        <v>28</v>
      </c>
      <c r="AW781" s="16">
        <f t="shared" si="395"/>
        <v>1000</v>
      </c>
      <c r="AX781" s="122">
        <f t="shared" si="396"/>
        <v>2.8806584362139918E-2</v>
      </c>
      <c r="AZ781" s="117">
        <v>1000</v>
      </c>
      <c r="BA781" s="117">
        <v>1000</v>
      </c>
      <c r="BC781" s="266"/>
      <c r="BE781" s="26">
        <v>1000</v>
      </c>
      <c r="BF781" s="26">
        <v>945.11</v>
      </c>
      <c r="BH781" s="26">
        <v>1000</v>
      </c>
      <c r="BI781" s="244"/>
      <c r="BJ781" s="16">
        <f t="shared" si="402"/>
        <v>1000</v>
      </c>
      <c r="BK781" s="122">
        <f t="shared" si="403"/>
        <v>0</v>
      </c>
      <c r="BM781" s="117">
        <v>1000</v>
      </c>
      <c r="BN781" s="117">
        <v>1000</v>
      </c>
      <c r="BP781" s="259"/>
      <c r="BR781" s="117">
        <v>1000</v>
      </c>
      <c r="BS781" s="26">
        <v>316.42</v>
      </c>
      <c r="BU781" s="26">
        <v>1000</v>
      </c>
      <c r="BV781" s="244"/>
      <c r="BW781" s="576">
        <f t="shared" si="404"/>
        <v>1000</v>
      </c>
      <c r="BX781" s="577">
        <f t="shared" si="405"/>
        <v>0</v>
      </c>
      <c r="BZ781" s="166">
        <v>1000</v>
      </c>
      <c r="CA781" s="166">
        <v>1000</v>
      </c>
      <c r="CC781" s="753"/>
      <c r="CE781" s="166">
        <v>1000</v>
      </c>
      <c r="CF781" s="166"/>
      <c r="CO781" s="16"/>
    </row>
    <row r="782" spans="1:93" x14ac:dyDescent="0.3">
      <c r="A782" s="11">
        <v>610</v>
      </c>
      <c r="B782" s="3" t="s">
        <v>2</v>
      </c>
      <c r="C782" s="37">
        <v>61005</v>
      </c>
      <c r="D782" s="37">
        <v>53430</v>
      </c>
      <c r="E782" s="49" t="s">
        <v>118</v>
      </c>
      <c r="F782" s="3" t="s">
        <v>2</v>
      </c>
      <c r="G782" s="3" t="s">
        <v>447</v>
      </c>
      <c r="H782" s="26">
        <v>500</v>
      </c>
      <c r="I782" s="244"/>
      <c r="J782" s="16">
        <f t="shared" si="388"/>
        <v>500</v>
      </c>
      <c r="K782" s="122">
        <f t="shared" si="389"/>
        <v>0</v>
      </c>
      <c r="M782" s="117">
        <v>500</v>
      </c>
      <c r="N782" s="117">
        <v>500</v>
      </c>
      <c r="P782" s="259"/>
      <c r="R782" s="26">
        <v>500</v>
      </c>
      <c r="S782" s="26">
        <v>428.18</v>
      </c>
      <c r="U782" s="26">
        <v>500</v>
      </c>
      <c r="V782" s="244"/>
      <c r="W782" s="16">
        <f t="shared" si="390"/>
        <v>500</v>
      </c>
      <c r="X782" s="122">
        <f t="shared" si="391"/>
        <v>0</v>
      </c>
      <c r="Z782" s="117">
        <v>500</v>
      </c>
      <c r="AA782" s="117">
        <v>500</v>
      </c>
      <c r="AC782" s="259"/>
      <c r="AE782" s="26">
        <v>500</v>
      </c>
      <c r="AF782" s="200">
        <v>462.92</v>
      </c>
      <c r="AH782" s="26">
        <v>500</v>
      </c>
      <c r="AI782" s="244"/>
      <c r="AJ782" s="16">
        <f t="shared" si="392"/>
        <v>500</v>
      </c>
      <c r="AK782" s="122">
        <f t="shared" si="393"/>
        <v>0</v>
      </c>
      <c r="AM782" s="117">
        <v>500</v>
      </c>
      <c r="AN782" s="117">
        <v>500</v>
      </c>
      <c r="AP782" s="259"/>
      <c r="AR782" s="26">
        <v>500</v>
      </c>
      <c r="AS782" s="26">
        <v>298.43</v>
      </c>
      <c r="AU782" s="26">
        <f t="shared" si="401"/>
        <v>500</v>
      </c>
      <c r="AV782" s="244"/>
      <c r="AW782" s="16">
        <f t="shared" si="395"/>
        <v>500</v>
      </c>
      <c r="AX782" s="122">
        <f t="shared" si="396"/>
        <v>0</v>
      </c>
      <c r="AZ782" s="117">
        <v>500</v>
      </c>
      <c r="BA782" s="117">
        <v>500</v>
      </c>
      <c r="BC782" s="259"/>
      <c r="BE782" s="26">
        <v>500</v>
      </c>
      <c r="BF782" s="26">
        <v>113.33</v>
      </c>
      <c r="BH782" s="26">
        <v>500</v>
      </c>
      <c r="BI782" s="244"/>
      <c r="BJ782" s="16">
        <f t="shared" si="402"/>
        <v>500</v>
      </c>
      <c r="BK782" s="122">
        <f t="shared" si="403"/>
        <v>0</v>
      </c>
      <c r="BM782" s="117">
        <v>500</v>
      </c>
      <c r="BN782" s="117">
        <v>500</v>
      </c>
      <c r="BP782" s="259"/>
      <c r="BR782" s="117">
        <v>500</v>
      </c>
      <c r="BS782" s="26">
        <v>132.16999999999999</v>
      </c>
      <c r="BU782" s="26">
        <v>500</v>
      </c>
      <c r="BV782" s="244"/>
      <c r="BW782" s="576">
        <f t="shared" si="404"/>
        <v>500</v>
      </c>
      <c r="BX782" s="577">
        <f t="shared" si="405"/>
        <v>0</v>
      </c>
      <c r="BZ782" s="166">
        <v>500</v>
      </c>
      <c r="CA782" s="166">
        <v>500</v>
      </c>
      <c r="CC782" s="753"/>
      <c r="CE782" s="166">
        <v>500</v>
      </c>
      <c r="CF782" s="166"/>
      <c r="CO782" s="16"/>
    </row>
    <row r="783" spans="1:93" x14ac:dyDescent="0.3">
      <c r="A783" s="11">
        <v>610</v>
      </c>
      <c r="B783" s="3" t="s">
        <v>2</v>
      </c>
      <c r="C783" s="37">
        <v>61005</v>
      </c>
      <c r="D783" s="37">
        <v>53450</v>
      </c>
      <c r="E783" s="49" t="s">
        <v>118</v>
      </c>
      <c r="F783" s="3" t="s">
        <v>2</v>
      </c>
      <c r="G783" s="3" t="s">
        <v>448</v>
      </c>
      <c r="H783" s="26">
        <v>300</v>
      </c>
      <c r="I783" s="244"/>
      <c r="J783" s="16">
        <f t="shared" si="388"/>
        <v>300</v>
      </c>
      <c r="K783" s="122">
        <f t="shared" si="389"/>
        <v>0</v>
      </c>
      <c r="M783" s="117">
        <v>300</v>
      </c>
      <c r="N783" s="117">
        <v>300</v>
      </c>
      <c r="P783" s="259"/>
      <c r="R783" s="26">
        <v>300</v>
      </c>
      <c r="S783" s="26">
        <v>179.23</v>
      </c>
      <c r="U783" s="26">
        <v>300</v>
      </c>
      <c r="V783" s="244"/>
      <c r="W783" s="16">
        <f t="shared" si="390"/>
        <v>300</v>
      </c>
      <c r="X783" s="122">
        <f t="shared" si="391"/>
        <v>0</v>
      </c>
      <c r="Z783" s="117">
        <v>300</v>
      </c>
      <c r="AA783" s="117">
        <v>300</v>
      </c>
      <c r="AC783" s="259"/>
      <c r="AE783" s="26">
        <v>300</v>
      </c>
      <c r="AF783" s="200">
        <v>253.01</v>
      </c>
      <c r="AH783" s="26">
        <v>300</v>
      </c>
      <c r="AI783" s="244"/>
      <c r="AJ783" s="16">
        <f t="shared" si="392"/>
        <v>300</v>
      </c>
      <c r="AK783" s="122">
        <f t="shared" si="393"/>
        <v>0</v>
      </c>
      <c r="AM783" s="117">
        <v>300</v>
      </c>
      <c r="AN783" s="117">
        <v>300</v>
      </c>
      <c r="AP783" s="259"/>
      <c r="AR783" s="26">
        <v>300</v>
      </c>
      <c r="AS783" s="26">
        <v>54.46</v>
      </c>
      <c r="AU783" s="26">
        <f t="shared" si="401"/>
        <v>300</v>
      </c>
      <c r="AV783" s="244"/>
      <c r="AW783" s="16">
        <f t="shared" si="395"/>
        <v>300</v>
      </c>
      <c r="AX783" s="122">
        <f t="shared" si="396"/>
        <v>0</v>
      </c>
      <c r="AZ783" s="117">
        <v>300</v>
      </c>
      <c r="BA783" s="117">
        <v>300</v>
      </c>
      <c r="BC783" s="259"/>
      <c r="BE783" s="26">
        <v>300</v>
      </c>
      <c r="BF783" s="26">
        <v>75</v>
      </c>
      <c r="BH783" s="26">
        <v>300</v>
      </c>
      <c r="BI783" s="244"/>
      <c r="BJ783" s="16">
        <f t="shared" si="402"/>
        <v>300</v>
      </c>
      <c r="BK783" s="122">
        <f t="shared" si="403"/>
        <v>0</v>
      </c>
      <c r="BM783" s="117">
        <v>300</v>
      </c>
      <c r="BN783" s="117">
        <v>300</v>
      </c>
      <c r="BP783" s="259"/>
      <c r="BR783" s="117">
        <v>300</v>
      </c>
      <c r="BS783" s="26">
        <v>56.92</v>
      </c>
      <c r="BU783" s="26">
        <v>300</v>
      </c>
      <c r="BV783" s="244"/>
      <c r="BW783" s="576">
        <f t="shared" si="404"/>
        <v>300</v>
      </c>
      <c r="BX783" s="577">
        <f t="shared" si="405"/>
        <v>0</v>
      </c>
      <c r="BZ783" s="166">
        <v>300</v>
      </c>
      <c r="CA783" s="166">
        <v>300</v>
      </c>
      <c r="CC783" s="753"/>
      <c r="CE783" s="166">
        <v>300</v>
      </c>
      <c r="CF783" s="166"/>
      <c r="CO783" s="16"/>
    </row>
    <row r="784" spans="1:93" x14ac:dyDescent="0.3">
      <c r="A784" s="11">
        <v>610</v>
      </c>
      <c r="B784" s="3" t="s">
        <v>2</v>
      </c>
      <c r="C784" s="37">
        <v>61005</v>
      </c>
      <c r="D784" s="37">
        <v>53800</v>
      </c>
      <c r="E784" s="49" t="s">
        <v>118</v>
      </c>
      <c r="F784" s="3" t="s">
        <v>2</v>
      </c>
      <c r="G784" s="3" t="s">
        <v>449</v>
      </c>
      <c r="H784" s="26">
        <v>21638</v>
      </c>
      <c r="I784" s="244">
        <v>433</v>
      </c>
      <c r="J784" s="16">
        <f t="shared" si="388"/>
        <v>22071</v>
      </c>
      <c r="K784" s="122">
        <f t="shared" si="389"/>
        <v>2.0011091598114428E-2</v>
      </c>
      <c r="M784" s="117">
        <v>22071</v>
      </c>
      <c r="N784" s="117">
        <v>22071</v>
      </c>
      <c r="P784" s="259"/>
      <c r="R784" s="26">
        <v>22071</v>
      </c>
      <c r="S784" s="26">
        <v>20950</v>
      </c>
      <c r="U784" s="26">
        <v>22071</v>
      </c>
      <c r="V784" s="244"/>
      <c r="W784" s="16">
        <f t="shared" si="390"/>
        <v>22071</v>
      </c>
      <c r="X784" s="122">
        <f t="shared" si="391"/>
        <v>0</v>
      </c>
      <c r="Z784" s="117">
        <v>22071</v>
      </c>
      <c r="AA784" s="117">
        <f>22071+537</f>
        <v>22608</v>
      </c>
      <c r="AC784" s="259" t="s">
        <v>761</v>
      </c>
      <c r="AE784" s="26">
        <f>22071+537</f>
        <v>22608</v>
      </c>
      <c r="AF784" s="200">
        <v>20975</v>
      </c>
      <c r="AH784" s="26">
        <v>22608</v>
      </c>
      <c r="AI784" s="244">
        <v>392</v>
      </c>
      <c r="AJ784" s="16">
        <f t="shared" si="392"/>
        <v>23000</v>
      </c>
      <c r="AK784" s="122">
        <f t="shared" si="393"/>
        <v>1.7338995046001414E-2</v>
      </c>
      <c r="AM784" s="117">
        <v>23000</v>
      </c>
      <c r="AN784" s="117">
        <v>23000</v>
      </c>
      <c r="AO784" s="178"/>
      <c r="AP784" s="266"/>
      <c r="AR784" s="26">
        <v>23000</v>
      </c>
      <c r="AS784" s="26">
        <v>19500</v>
      </c>
      <c r="AU784" s="26">
        <f t="shared" si="401"/>
        <v>23000</v>
      </c>
      <c r="AV784" s="244"/>
      <c r="AW784" s="16">
        <f t="shared" si="395"/>
        <v>23000</v>
      </c>
      <c r="AX784" s="122">
        <f t="shared" si="396"/>
        <v>0</v>
      </c>
      <c r="AZ784" s="117">
        <v>23000</v>
      </c>
      <c r="BA784" s="117">
        <v>23000</v>
      </c>
      <c r="BB784" s="178"/>
      <c r="BC784" s="266"/>
      <c r="BE784" s="26">
        <v>23000</v>
      </c>
      <c r="BF784" s="26">
        <v>19896</v>
      </c>
      <c r="BH784" s="26">
        <v>23000</v>
      </c>
      <c r="BI784" s="244"/>
      <c r="BJ784" s="16">
        <f t="shared" si="402"/>
        <v>23000</v>
      </c>
      <c r="BK784" s="122">
        <f t="shared" si="403"/>
        <v>0</v>
      </c>
      <c r="BM784" s="117">
        <v>23000</v>
      </c>
      <c r="BN784" s="117">
        <f>23000+198</f>
        <v>23198</v>
      </c>
      <c r="BO784" s="178"/>
      <c r="BP784" s="266" t="s">
        <v>1207</v>
      </c>
      <c r="BR784" s="117">
        <f>23000+198</f>
        <v>23198</v>
      </c>
      <c r="BS784" s="26">
        <v>10098</v>
      </c>
      <c r="BU784" s="26">
        <f>23000+198</f>
        <v>23198</v>
      </c>
      <c r="BV784" s="244"/>
      <c r="BW784" s="576">
        <f t="shared" si="404"/>
        <v>23198</v>
      </c>
      <c r="BX784" s="577">
        <f t="shared" si="405"/>
        <v>0</v>
      </c>
      <c r="BZ784" s="166">
        <v>23198</v>
      </c>
      <c r="CA784" s="166">
        <v>23662</v>
      </c>
      <c r="CC784" s="430" t="s">
        <v>1360</v>
      </c>
      <c r="CE784" s="247">
        <f>23198+464</f>
        <v>23662</v>
      </c>
      <c r="CF784" s="166"/>
      <c r="CH784" s="813">
        <v>464</v>
      </c>
      <c r="CO784" s="16"/>
    </row>
    <row r="785" spans="1:93" x14ac:dyDescent="0.3">
      <c r="A785" s="11">
        <v>610</v>
      </c>
      <c r="B785" s="3" t="s">
        <v>2</v>
      </c>
      <c r="C785" s="37">
        <v>61005</v>
      </c>
      <c r="D785" s="37">
        <v>54000</v>
      </c>
      <c r="E785" s="49" t="s">
        <v>118</v>
      </c>
      <c r="F785" s="3" t="s">
        <v>2</v>
      </c>
      <c r="G785" s="3" t="s">
        <v>450</v>
      </c>
      <c r="H785" s="26">
        <v>3600</v>
      </c>
      <c r="I785" s="244">
        <v>-1100</v>
      </c>
      <c r="J785" s="16">
        <f t="shared" si="388"/>
        <v>2500</v>
      </c>
      <c r="K785" s="122">
        <f t="shared" si="389"/>
        <v>-0.30555555555555558</v>
      </c>
      <c r="M785" s="117">
        <v>2500</v>
      </c>
      <c r="N785" s="117">
        <v>2500</v>
      </c>
      <c r="P785" s="259"/>
      <c r="R785" s="26">
        <v>2500</v>
      </c>
      <c r="S785" s="26">
        <v>1874.02</v>
      </c>
      <c r="U785" s="26">
        <v>2500</v>
      </c>
      <c r="V785" s="244"/>
      <c r="W785" s="16">
        <f t="shared" si="390"/>
        <v>2500</v>
      </c>
      <c r="X785" s="122">
        <f t="shared" si="391"/>
        <v>0</v>
      </c>
      <c r="Z785" s="117">
        <v>2500</v>
      </c>
      <c r="AA785" s="117">
        <v>2500</v>
      </c>
      <c r="AC785" s="259"/>
      <c r="AE785" s="26">
        <v>2500</v>
      </c>
      <c r="AF785" s="200">
        <v>2532.85</v>
      </c>
      <c r="AH785" s="26">
        <v>2500</v>
      </c>
      <c r="AI785" s="244">
        <v>-800</v>
      </c>
      <c r="AJ785" s="16">
        <f t="shared" si="392"/>
        <v>1700</v>
      </c>
      <c r="AK785" s="122">
        <f t="shared" si="393"/>
        <v>-0.32</v>
      </c>
      <c r="AM785" s="117">
        <v>1700</v>
      </c>
      <c r="AN785" s="117">
        <v>1700</v>
      </c>
      <c r="AP785" s="259"/>
      <c r="AR785" s="26">
        <v>1700</v>
      </c>
      <c r="AS785" s="26">
        <v>1641.58</v>
      </c>
      <c r="AU785" s="26">
        <f t="shared" si="401"/>
        <v>1700</v>
      </c>
      <c r="AV785" s="244"/>
      <c r="AW785" s="16">
        <f t="shared" si="395"/>
        <v>1700</v>
      </c>
      <c r="AX785" s="122">
        <f t="shared" si="396"/>
        <v>0</v>
      </c>
      <c r="AZ785" s="117">
        <v>1700</v>
      </c>
      <c r="BA785" s="117">
        <v>1700</v>
      </c>
      <c r="BC785" s="259"/>
      <c r="BE785" s="26">
        <v>1700</v>
      </c>
      <c r="BF785" s="26">
        <v>1985.08</v>
      </c>
      <c r="BH785" s="26">
        <v>1700</v>
      </c>
      <c r="BI785" s="244"/>
      <c r="BJ785" s="16">
        <f t="shared" si="402"/>
        <v>1700</v>
      </c>
      <c r="BK785" s="122">
        <f t="shared" si="403"/>
        <v>0</v>
      </c>
      <c r="BM785" s="117">
        <v>1700</v>
      </c>
      <c r="BN785" s="117">
        <v>1700</v>
      </c>
      <c r="BP785" s="259"/>
      <c r="BR785" s="117">
        <v>1700</v>
      </c>
      <c r="BS785" s="26">
        <v>149.07</v>
      </c>
      <c r="BU785" s="26">
        <v>1700</v>
      </c>
      <c r="BV785" s="244"/>
      <c r="BW785" s="576">
        <f t="shared" si="404"/>
        <v>1700</v>
      </c>
      <c r="BX785" s="577">
        <f t="shared" si="405"/>
        <v>0</v>
      </c>
      <c r="BZ785" s="166">
        <v>1700</v>
      </c>
      <c r="CA785" s="166">
        <v>1700</v>
      </c>
      <c r="CC785" s="753"/>
      <c r="CE785" s="166">
        <v>1700</v>
      </c>
      <c r="CF785" s="166"/>
      <c r="CO785" s="16"/>
    </row>
    <row r="786" spans="1:93" x14ac:dyDescent="0.3">
      <c r="A786" s="11">
        <v>610</v>
      </c>
      <c r="B786" s="3" t="s">
        <v>2</v>
      </c>
      <c r="C786" s="37">
        <v>61005</v>
      </c>
      <c r="D786" s="37">
        <v>54200</v>
      </c>
      <c r="E786" s="49" t="s">
        <v>118</v>
      </c>
      <c r="F786" s="3" t="s">
        <v>2</v>
      </c>
      <c r="G786" s="3" t="s">
        <v>451</v>
      </c>
      <c r="H786" s="26">
        <v>2750</v>
      </c>
      <c r="I786" s="244"/>
      <c r="J786" s="16">
        <f t="shared" si="388"/>
        <v>2750</v>
      </c>
      <c r="K786" s="122">
        <f t="shared" si="389"/>
        <v>0</v>
      </c>
      <c r="M786" s="117">
        <v>2750</v>
      </c>
      <c r="N786" s="117">
        <v>2750</v>
      </c>
      <c r="P786" s="259"/>
      <c r="R786" s="26">
        <v>2750</v>
      </c>
      <c r="S786" s="26">
        <v>6434.15</v>
      </c>
      <c r="U786" s="26">
        <v>2750</v>
      </c>
      <c r="V786" s="244"/>
      <c r="W786" s="16">
        <f t="shared" si="390"/>
        <v>2750</v>
      </c>
      <c r="X786" s="122">
        <f t="shared" si="391"/>
        <v>0</v>
      </c>
      <c r="Z786" s="117">
        <v>2750</v>
      </c>
      <c r="AA786" s="117">
        <v>2750</v>
      </c>
      <c r="AC786" s="259"/>
      <c r="AE786" s="26">
        <v>2750</v>
      </c>
      <c r="AF786" s="200">
        <v>9921.4</v>
      </c>
      <c r="AH786" s="26">
        <v>2750</v>
      </c>
      <c r="AI786" s="244">
        <v>1444</v>
      </c>
      <c r="AJ786" s="16">
        <f t="shared" si="392"/>
        <v>4194</v>
      </c>
      <c r="AK786" s="122">
        <f t="shared" si="393"/>
        <v>0.52509090909090905</v>
      </c>
      <c r="AM786" s="117">
        <v>4194</v>
      </c>
      <c r="AN786" s="117">
        <v>4194</v>
      </c>
      <c r="AP786" s="266"/>
      <c r="AR786" s="26">
        <v>4194</v>
      </c>
      <c r="AS786" s="26">
        <v>1422.06</v>
      </c>
      <c r="AU786" s="26">
        <f t="shared" si="401"/>
        <v>4194</v>
      </c>
      <c r="AV786" s="244">
        <v>-2194</v>
      </c>
      <c r="AW786" s="16">
        <f t="shared" si="395"/>
        <v>2000</v>
      </c>
      <c r="AX786" s="122">
        <f t="shared" si="396"/>
        <v>-0.52312827849308541</v>
      </c>
      <c r="AZ786" s="117">
        <v>2000</v>
      </c>
      <c r="BA786" s="117">
        <v>2000</v>
      </c>
      <c r="BC786" s="266"/>
      <c r="BE786" s="26">
        <v>2000</v>
      </c>
      <c r="BF786" s="26">
        <v>1533.84</v>
      </c>
      <c r="BH786" s="26">
        <v>2000</v>
      </c>
      <c r="BI786" s="244"/>
      <c r="BJ786" s="16">
        <f t="shared" si="402"/>
        <v>2000</v>
      </c>
      <c r="BK786" s="122">
        <f t="shared" si="403"/>
        <v>0</v>
      </c>
      <c r="BM786" s="117">
        <v>2000</v>
      </c>
      <c r="BN786" s="117">
        <v>2000</v>
      </c>
      <c r="BP786" s="259"/>
      <c r="BR786" s="117">
        <v>2000</v>
      </c>
      <c r="BS786" s="26">
        <v>595.28</v>
      </c>
      <c r="BU786" s="26">
        <v>2000</v>
      </c>
      <c r="BV786" s="244"/>
      <c r="BW786" s="576">
        <f t="shared" si="404"/>
        <v>2000</v>
      </c>
      <c r="BX786" s="577">
        <f t="shared" si="405"/>
        <v>0</v>
      </c>
      <c r="BZ786" s="166">
        <v>2000</v>
      </c>
      <c r="CA786" s="166">
        <v>2000</v>
      </c>
      <c r="CC786" s="753"/>
      <c r="CE786" s="166">
        <v>2000</v>
      </c>
      <c r="CF786" s="166"/>
      <c r="CO786" s="16"/>
    </row>
    <row r="787" spans="1:93" x14ac:dyDescent="0.3">
      <c r="A787" s="11">
        <v>610</v>
      </c>
      <c r="B787" s="3" t="s">
        <v>2</v>
      </c>
      <c r="C787" s="37">
        <v>61005</v>
      </c>
      <c r="D787" s="37">
        <v>54220</v>
      </c>
      <c r="E787" s="49" t="s">
        <v>118</v>
      </c>
      <c r="F787" s="3" t="s">
        <v>2</v>
      </c>
      <c r="G787" s="3" t="s">
        <v>452</v>
      </c>
      <c r="H787" s="26">
        <v>1800</v>
      </c>
      <c r="I787" s="244"/>
      <c r="J787" s="16">
        <f t="shared" si="388"/>
        <v>1800</v>
      </c>
      <c r="K787" s="122">
        <f t="shared" si="389"/>
        <v>0</v>
      </c>
      <c r="M787" s="117">
        <v>1800</v>
      </c>
      <c r="N787" s="117">
        <v>1800</v>
      </c>
      <c r="P787" s="259"/>
      <c r="R787" s="26">
        <v>1800</v>
      </c>
      <c r="S787" s="26">
        <v>1800</v>
      </c>
      <c r="U787" s="26">
        <v>1800</v>
      </c>
      <c r="V787" s="244"/>
      <c r="W787" s="16">
        <f t="shared" si="390"/>
        <v>1800</v>
      </c>
      <c r="X787" s="122">
        <f t="shared" si="391"/>
        <v>0</v>
      </c>
      <c r="Z787" s="117">
        <v>1800</v>
      </c>
      <c r="AA787" s="117">
        <v>1800</v>
      </c>
      <c r="AC787" s="259"/>
      <c r="AE787" s="26">
        <v>1800</v>
      </c>
      <c r="AF787" s="200">
        <v>1650</v>
      </c>
      <c r="AH787" s="26">
        <v>1800</v>
      </c>
      <c r="AI787" s="244"/>
      <c r="AJ787" s="16">
        <f t="shared" si="392"/>
        <v>1800</v>
      </c>
      <c r="AK787" s="122">
        <f t="shared" si="393"/>
        <v>0</v>
      </c>
      <c r="AM787" s="117">
        <v>1800</v>
      </c>
      <c r="AN787" s="117">
        <v>1800</v>
      </c>
      <c r="AP787" s="259"/>
      <c r="AR787" s="26">
        <v>1800</v>
      </c>
      <c r="AS787" s="26">
        <v>1976.6</v>
      </c>
      <c r="AU787" s="26">
        <f t="shared" si="401"/>
        <v>1800</v>
      </c>
      <c r="AV787" s="244"/>
      <c r="AW787" s="16">
        <f t="shared" si="395"/>
        <v>1800</v>
      </c>
      <c r="AX787" s="122">
        <f t="shared" si="396"/>
        <v>0</v>
      </c>
      <c r="AZ787" s="117">
        <v>1800</v>
      </c>
      <c r="BA787" s="117">
        <v>1800</v>
      </c>
      <c r="BC787" s="259"/>
      <c r="BE787" s="26">
        <v>1800</v>
      </c>
      <c r="BF787" s="26">
        <v>1889.12</v>
      </c>
      <c r="BH787" s="26">
        <v>1800</v>
      </c>
      <c r="BI787" s="244"/>
      <c r="BJ787" s="16">
        <f t="shared" si="402"/>
        <v>1800</v>
      </c>
      <c r="BK787" s="122">
        <f t="shared" si="403"/>
        <v>0</v>
      </c>
      <c r="BM787" s="117">
        <v>1800</v>
      </c>
      <c r="BN787" s="117">
        <v>1800</v>
      </c>
      <c r="BP787" s="259"/>
      <c r="BR787" s="117">
        <v>1800</v>
      </c>
      <c r="BS787" s="26">
        <v>788.8</v>
      </c>
      <c r="BU787" s="26">
        <v>1800</v>
      </c>
      <c r="BV787" s="244"/>
      <c r="BW787" s="576">
        <f t="shared" si="404"/>
        <v>1800</v>
      </c>
      <c r="BX787" s="577">
        <f t="shared" si="405"/>
        <v>0</v>
      </c>
      <c r="BZ787" s="166">
        <v>1800</v>
      </c>
      <c r="CA787" s="166">
        <v>1800</v>
      </c>
      <c r="CC787" s="753"/>
      <c r="CE787" s="166">
        <v>1800</v>
      </c>
      <c r="CF787" s="166"/>
      <c r="CO787" s="16"/>
    </row>
    <row r="788" spans="1:93" x14ac:dyDescent="0.3">
      <c r="A788" s="11">
        <v>610</v>
      </c>
      <c r="B788" s="3" t="s">
        <v>2</v>
      </c>
      <c r="C788" s="37">
        <v>61005</v>
      </c>
      <c r="D788" s="37">
        <v>54300</v>
      </c>
      <c r="E788" s="49" t="s">
        <v>118</v>
      </c>
      <c r="F788" s="3" t="s">
        <v>2</v>
      </c>
      <c r="G788" s="3" t="s">
        <v>453</v>
      </c>
      <c r="H788" s="26">
        <v>1000</v>
      </c>
      <c r="I788" s="244"/>
      <c r="J788" s="16">
        <f t="shared" si="388"/>
        <v>1000</v>
      </c>
      <c r="K788" s="122">
        <f t="shared" si="389"/>
        <v>0</v>
      </c>
      <c r="M788" s="117">
        <v>1000</v>
      </c>
      <c r="N788" s="117">
        <v>1000</v>
      </c>
      <c r="P788" s="259"/>
      <c r="R788" s="26">
        <v>1000</v>
      </c>
      <c r="S788" s="26">
        <v>197.79</v>
      </c>
      <c r="U788" s="26">
        <v>1000</v>
      </c>
      <c r="V788" s="244"/>
      <c r="W788" s="16">
        <f t="shared" si="390"/>
        <v>1000</v>
      </c>
      <c r="X788" s="122">
        <f t="shared" si="391"/>
        <v>0</v>
      </c>
      <c r="Z788" s="117">
        <v>1000</v>
      </c>
      <c r="AA788" s="117">
        <v>1000</v>
      </c>
      <c r="AC788" s="259"/>
      <c r="AE788" s="26">
        <v>1000</v>
      </c>
      <c r="AF788" s="200">
        <v>355.53</v>
      </c>
      <c r="AH788" s="26">
        <v>1000</v>
      </c>
      <c r="AI788" s="244">
        <v>-300</v>
      </c>
      <c r="AJ788" s="16">
        <f t="shared" si="392"/>
        <v>700</v>
      </c>
      <c r="AK788" s="122">
        <f t="shared" si="393"/>
        <v>-0.3</v>
      </c>
      <c r="AM788" s="117">
        <v>700</v>
      </c>
      <c r="AN788" s="117">
        <v>700</v>
      </c>
      <c r="AP788" s="259"/>
      <c r="AR788" s="26">
        <v>700</v>
      </c>
      <c r="AS788" s="26">
        <v>837.32</v>
      </c>
      <c r="AU788" s="26">
        <f t="shared" si="401"/>
        <v>700</v>
      </c>
      <c r="AV788" s="244"/>
      <c r="AW788" s="16">
        <f t="shared" si="395"/>
        <v>700</v>
      </c>
      <c r="AX788" s="122">
        <f t="shared" si="396"/>
        <v>0</v>
      </c>
      <c r="AZ788" s="117">
        <v>700</v>
      </c>
      <c r="BA788" s="117">
        <v>700</v>
      </c>
      <c r="BC788" s="259"/>
      <c r="BE788" s="26">
        <v>700</v>
      </c>
      <c r="BF788" s="26">
        <v>463.58</v>
      </c>
      <c r="BH788" s="26">
        <v>700</v>
      </c>
      <c r="BI788" s="244"/>
      <c r="BJ788" s="16">
        <f t="shared" si="402"/>
        <v>700</v>
      </c>
      <c r="BK788" s="122">
        <f t="shared" si="403"/>
        <v>0</v>
      </c>
      <c r="BM788" s="117">
        <v>700</v>
      </c>
      <c r="BN788" s="117">
        <v>700</v>
      </c>
      <c r="BP788" s="259"/>
      <c r="BR788" s="117">
        <v>700</v>
      </c>
      <c r="BS788" s="26">
        <v>87.49</v>
      </c>
      <c r="BU788" s="26">
        <v>700</v>
      </c>
      <c r="BV788" s="244"/>
      <c r="BW788" s="576">
        <f t="shared" si="404"/>
        <v>700</v>
      </c>
      <c r="BX788" s="577">
        <f t="shared" si="405"/>
        <v>0</v>
      </c>
      <c r="BZ788" s="166">
        <v>700</v>
      </c>
      <c r="CA788" s="166">
        <v>700</v>
      </c>
      <c r="CC788" s="753"/>
      <c r="CE788" s="166">
        <v>700</v>
      </c>
      <c r="CF788" s="166"/>
      <c r="CO788" s="16"/>
    </row>
    <row r="789" spans="1:93" x14ac:dyDescent="0.3">
      <c r="A789" s="11">
        <v>610</v>
      </c>
      <c r="B789" s="3" t="s">
        <v>2</v>
      </c>
      <c r="C789" s="37">
        <v>61005</v>
      </c>
      <c r="D789" s="37">
        <v>54500</v>
      </c>
      <c r="E789" s="49" t="s">
        <v>118</v>
      </c>
      <c r="F789" s="3" t="s">
        <v>2</v>
      </c>
      <c r="G789" s="3" t="s">
        <v>454</v>
      </c>
      <c r="H789" s="26">
        <v>1500</v>
      </c>
      <c r="I789" s="244"/>
      <c r="J789" s="16">
        <f t="shared" si="388"/>
        <v>1500</v>
      </c>
      <c r="K789" s="122">
        <f t="shared" si="389"/>
        <v>0</v>
      </c>
      <c r="M789" s="117">
        <v>1500</v>
      </c>
      <c r="N789" s="117">
        <v>1500</v>
      </c>
      <c r="P789" s="259"/>
      <c r="R789" s="26">
        <v>1500</v>
      </c>
      <c r="S789" s="26">
        <v>1532.64</v>
      </c>
      <c r="U789" s="26">
        <v>1500</v>
      </c>
      <c r="V789" s="244"/>
      <c r="W789" s="16">
        <f t="shared" si="390"/>
        <v>1500</v>
      </c>
      <c r="X789" s="122">
        <f t="shared" si="391"/>
        <v>0</v>
      </c>
      <c r="Z789" s="117">
        <v>1500</v>
      </c>
      <c r="AA789" s="117">
        <v>1500</v>
      </c>
      <c r="AC789" s="259"/>
      <c r="AE789" s="26">
        <v>1500</v>
      </c>
      <c r="AF789" s="200">
        <v>1605.6</v>
      </c>
      <c r="AH789" s="26">
        <v>1500</v>
      </c>
      <c r="AI789" s="244"/>
      <c r="AJ789" s="16">
        <f t="shared" si="392"/>
        <v>1500</v>
      </c>
      <c r="AK789" s="122">
        <f t="shared" si="393"/>
        <v>0</v>
      </c>
      <c r="AM789" s="117">
        <v>1500</v>
      </c>
      <c r="AN789" s="117">
        <v>1500</v>
      </c>
      <c r="AP789" s="259"/>
      <c r="AR789" s="26">
        <v>1500</v>
      </c>
      <c r="AS789" s="26">
        <v>1484.4</v>
      </c>
      <c r="AU789" s="26">
        <f t="shared" si="401"/>
        <v>1500</v>
      </c>
      <c r="AV789" s="244"/>
      <c r="AW789" s="16">
        <f t="shared" si="395"/>
        <v>1500</v>
      </c>
      <c r="AX789" s="122">
        <f t="shared" si="396"/>
        <v>0</v>
      </c>
      <c r="AZ789" s="117">
        <v>1500</v>
      </c>
      <c r="BA789" s="117">
        <v>1500</v>
      </c>
      <c r="BC789" s="259"/>
      <c r="BE789" s="26">
        <v>1500</v>
      </c>
      <c r="BF789" s="26">
        <v>1430.46</v>
      </c>
      <c r="BH789" s="26">
        <v>1500</v>
      </c>
      <c r="BI789" s="244"/>
      <c r="BJ789" s="16">
        <f t="shared" si="402"/>
        <v>1500</v>
      </c>
      <c r="BK789" s="122">
        <f t="shared" si="403"/>
        <v>0</v>
      </c>
      <c r="BM789" s="117">
        <v>1500</v>
      </c>
      <c r="BN789" s="117">
        <v>1500</v>
      </c>
      <c r="BP789" s="259"/>
      <c r="BR789" s="117">
        <v>1500</v>
      </c>
      <c r="BS789" s="26">
        <v>1235.57</v>
      </c>
      <c r="BU789" s="26">
        <v>1500</v>
      </c>
      <c r="BV789" s="244"/>
      <c r="BW789" s="576">
        <f t="shared" si="404"/>
        <v>1500</v>
      </c>
      <c r="BX789" s="577">
        <f t="shared" si="405"/>
        <v>0</v>
      </c>
      <c r="BZ789" s="166">
        <v>1500</v>
      </c>
      <c r="CA789" s="166">
        <v>1500</v>
      </c>
      <c r="CC789" s="753"/>
      <c r="CE789" s="166">
        <v>1500</v>
      </c>
      <c r="CF789" s="166"/>
      <c r="CO789" s="16"/>
    </row>
    <row r="790" spans="1:93" x14ac:dyDescent="0.3">
      <c r="A790" s="11">
        <v>610</v>
      </c>
      <c r="B790" s="3" t="s">
        <v>2</v>
      </c>
      <c r="C790" s="37">
        <v>61005</v>
      </c>
      <c r="D790" s="37">
        <v>57100</v>
      </c>
      <c r="E790" s="49" t="s">
        <v>118</v>
      </c>
      <c r="F790" s="3" t="s">
        <v>2</v>
      </c>
      <c r="G790" s="3" t="s">
        <v>455</v>
      </c>
      <c r="H790" s="26">
        <v>900</v>
      </c>
      <c r="I790" s="244"/>
      <c r="J790" s="16">
        <f t="shared" si="388"/>
        <v>900</v>
      </c>
      <c r="K790" s="122">
        <f t="shared" si="389"/>
        <v>0</v>
      </c>
      <c r="M790" s="117">
        <v>900</v>
      </c>
      <c r="N790" s="117">
        <v>900</v>
      </c>
      <c r="P790" s="259"/>
      <c r="R790" s="26">
        <v>900</v>
      </c>
      <c r="S790" s="26">
        <v>749.06</v>
      </c>
      <c r="U790" s="26">
        <v>900</v>
      </c>
      <c r="V790" s="244"/>
      <c r="W790" s="16">
        <f t="shared" si="390"/>
        <v>900</v>
      </c>
      <c r="X790" s="122">
        <f t="shared" si="391"/>
        <v>0</v>
      </c>
      <c r="Z790" s="117">
        <v>900</v>
      </c>
      <c r="AA790" s="117">
        <v>900</v>
      </c>
      <c r="AC790" s="259"/>
      <c r="AE790" s="26">
        <v>900</v>
      </c>
      <c r="AF790" s="200">
        <v>685.27</v>
      </c>
      <c r="AH790" s="26">
        <v>900</v>
      </c>
      <c r="AI790" s="244"/>
      <c r="AJ790" s="16">
        <f t="shared" si="392"/>
        <v>900</v>
      </c>
      <c r="AK790" s="122">
        <f t="shared" si="393"/>
        <v>0</v>
      </c>
      <c r="AM790" s="117">
        <v>900</v>
      </c>
      <c r="AN790" s="117">
        <v>900</v>
      </c>
      <c r="AP790" s="259"/>
      <c r="AR790" s="26">
        <v>900</v>
      </c>
      <c r="AS790" s="26">
        <v>550.91999999999996</v>
      </c>
      <c r="AU790" s="26">
        <f t="shared" si="401"/>
        <v>900</v>
      </c>
      <c r="AV790" s="244"/>
      <c r="AW790" s="16">
        <f t="shared" si="395"/>
        <v>900</v>
      </c>
      <c r="AX790" s="122">
        <f t="shared" si="396"/>
        <v>0</v>
      </c>
      <c r="AZ790" s="117">
        <v>900</v>
      </c>
      <c r="BA790" s="117">
        <v>900</v>
      </c>
      <c r="BC790" s="259"/>
      <c r="BE790" s="26">
        <v>900</v>
      </c>
      <c r="BF790" s="26">
        <v>0</v>
      </c>
      <c r="BH790" s="26">
        <v>900</v>
      </c>
      <c r="BI790" s="244"/>
      <c r="BJ790" s="16">
        <f t="shared" si="402"/>
        <v>900</v>
      </c>
      <c r="BK790" s="122">
        <f t="shared" si="403"/>
        <v>0</v>
      </c>
      <c r="BM790" s="117">
        <v>900</v>
      </c>
      <c r="BN790" s="117">
        <v>900</v>
      </c>
      <c r="BP790" s="259"/>
      <c r="BR790" s="117">
        <v>900</v>
      </c>
      <c r="BS790" s="26">
        <v>25</v>
      </c>
      <c r="BU790" s="26">
        <v>900</v>
      </c>
      <c r="BV790" s="244"/>
      <c r="BW790" s="576">
        <f t="shared" si="404"/>
        <v>900</v>
      </c>
      <c r="BX790" s="577">
        <f t="shared" si="405"/>
        <v>0</v>
      </c>
      <c r="BZ790" s="166">
        <v>900</v>
      </c>
      <c r="CA790" s="166">
        <v>900</v>
      </c>
      <c r="CC790" s="753"/>
      <c r="CE790" s="166">
        <v>900</v>
      </c>
      <c r="CF790" s="166"/>
      <c r="CO790" s="16"/>
    </row>
    <row r="791" spans="1:93" x14ac:dyDescent="0.3">
      <c r="A791" s="11">
        <v>610</v>
      </c>
      <c r="B791" s="3" t="s">
        <v>2</v>
      </c>
      <c r="C791" s="37">
        <v>61005</v>
      </c>
      <c r="D791" s="37">
        <v>57300</v>
      </c>
      <c r="E791" s="49" t="s">
        <v>118</v>
      </c>
      <c r="F791" s="3" t="s">
        <v>2</v>
      </c>
      <c r="G791" s="3" t="s">
        <v>456</v>
      </c>
      <c r="H791" s="26">
        <v>200</v>
      </c>
      <c r="I791" s="244"/>
      <c r="J791" s="16">
        <f t="shared" si="388"/>
        <v>200</v>
      </c>
      <c r="K791" s="122">
        <f t="shared" si="389"/>
        <v>0</v>
      </c>
      <c r="M791" s="117">
        <v>200</v>
      </c>
      <c r="N791" s="117">
        <v>200</v>
      </c>
      <c r="P791" s="259"/>
      <c r="R791" s="26">
        <v>200</v>
      </c>
      <c r="S791" s="26">
        <v>175</v>
      </c>
      <c r="U791" s="26">
        <v>200</v>
      </c>
      <c r="V791" s="244"/>
      <c r="W791" s="16">
        <f t="shared" si="390"/>
        <v>200</v>
      </c>
      <c r="X791" s="122">
        <f t="shared" si="391"/>
        <v>0</v>
      </c>
      <c r="Z791" s="117">
        <v>200</v>
      </c>
      <c r="AA791" s="117">
        <v>200</v>
      </c>
      <c r="AC791" s="259"/>
      <c r="AE791" s="26">
        <v>200</v>
      </c>
      <c r="AF791" s="200">
        <v>175</v>
      </c>
      <c r="AH791" s="26">
        <v>200</v>
      </c>
      <c r="AI791" s="244"/>
      <c r="AJ791" s="16">
        <f t="shared" si="392"/>
        <v>200</v>
      </c>
      <c r="AK791" s="122">
        <f t="shared" si="393"/>
        <v>0</v>
      </c>
      <c r="AM791" s="117">
        <v>200</v>
      </c>
      <c r="AN791" s="117">
        <v>200</v>
      </c>
      <c r="AP791" s="259"/>
      <c r="AR791" s="26">
        <v>200</v>
      </c>
      <c r="AS791" s="26">
        <v>175</v>
      </c>
      <c r="AU791" s="26">
        <f t="shared" si="401"/>
        <v>200</v>
      </c>
      <c r="AV791" s="244"/>
      <c r="AW791" s="16">
        <f t="shared" si="395"/>
        <v>200</v>
      </c>
      <c r="AX791" s="122">
        <f t="shared" si="396"/>
        <v>0</v>
      </c>
      <c r="AZ791" s="117">
        <v>200</v>
      </c>
      <c r="BA791" s="117">
        <v>200</v>
      </c>
      <c r="BC791" s="259"/>
      <c r="BE791" s="26">
        <v>200</v>
      </c>
      <c r="BF791" s="26">
        <v>175</v>
      </c>
      <c r="BH791" s="26">
        <v>200</v>
      </c>
      <c r="BI791" s="244"/>
      <c r="BJ791" s="16">
        <f t="shared" si="402"/>
        <v>200</v>
      </c>
      <c r="BK791" s="122">
        <f t="shared" si="403"/>
        <v>0</v>
      </c>
      <c r="BM791" s="117">
        <v>200</v>
      </c>
      <c r="BN791" s="117">
        <v>200</v>
      </c>
      <c r="BP791" s="259"/>
      <c r="BR791" s="117">
        <v>200</v>
      </c>
      <c r="BS791" s="26">
        <v>175</v>
      </c>
      <c r="BU791" s="26">
        <v>200</v>
      </c>
      <c r="BV791" s="244"/>
      <c r="BW791" s="576">
        <f t="shared" si="404"/>
        <v>200</v>
      </c>
      <c r="BX791" s="577">
        <f t="shared" si="405"/>
        <v>0</v>
      </c>
      <c r="BZ791" s="166">
        <v>200</v>
      </c>
      <c r="CA791" s="166">
        <v>200</v>
      </c>
      <c r="CC791" s="753"/>
      <c r="CE791" s="166">
        <v>200</v>
      </c>
      <c r="CF791" s="166"/>
      <c r="CO791" s="16"/>
    </row>
    <row r="792" spans="1:93" x14ac:dyDescent="0.3">
      <c r="A792" s="11">
        <v>610</v>
      </c>
      <c r="B792" s="3" t="s">
        <v>2</v>
      </c>
      <c r="C792" s="37">
        <v>61005</v>
      </c>
      <c r="D792" s="37">
        <v>58500</v>
      </c>
      <c r="E792" s="49" t="s">
        <v>118</v>
      </c>
      <c r="F792" s="3" t="s">
        <v>2</v>
      </c>
      <c r="G792" s="3" t="s">
        <v>457</v>
      </c>
      <c r="H792" s="26">
        <v>2000</v>
      </c>
      <c r="I792" s="244"/>
      <c r="J792" s="16">
        <f t="shared" si="388"/>
        <v>2000</v>
      </c>
      <c r="K792" s="122">
        <f t="shared" si="389"/>
        <v>0</v>
      </c>
      <c r="M792" s="117">
        <v>2000</v>
      </c>
      <c r="N792" s="117">
        <v>2000</v>
      </c>
      <c r="P792" s="259"/>
      <c r="R792" s="26">
        <v>2000</v>
      </c>
      <c r="S792" s="26">
        <v>503.38</v>
      </c>
      <c r="U792" s="26">
        <v>2000</v>
      </c>
      <c r="V792" s="244"/>
      <c r="W792" s="16">
        <f t="shared" si="390"/>
        <v>2000</v>
      </c>
      <c r="X792" s="122">
        <f t="shared" si="391"/>
        <v>0</v>
      </c>
      <c r="Z792" s="117">
        <v>2000</v>
      </c>
      <c r="AA792" s="117">
        <v>2000</v>
      </c>
      <c r="AC792" s="259"/>
      <c r="AE792" s="26">
        <v>2000</v>
      </c>
      <c r="AF792" s="200">
        <v>2000</v>
      </c>
      <c r="AH792" s="26">
        <v>2000</v>
      </c>
      <c r="AI792" s="244"/>
      <c r="AJ792" s="16">
        <f t="shared" si="392"/>
        <v>2000</v>
      </c>
      <c r="AK792" s="122">
        <f t="shared" si="393"/>
        <v>0</v>
      </c>
      <c r="AM792" s="117">
        <v>2000</v>
      </c>
      <c r="AN792" s="117">
        <v>2000</v>
      </c>
      <c r="AP792" s="259"/>
      <c r="AR792" s="26">
        <v>2000</v>
      </c>
      <c r="AS792" s="26">
        <v>0</v>
      </c>
      <c r="AU792" s="26">
        <f t="shared" si="401"/>
        <v>2000</v>
      </c>
      <c r="AV792" s="244"/>
      <c r="AW792" s="16">
        <f t="shared" si="395"/>
        <v>2000</v>
      </c>
      <c r="AX792" s="122">
        <f t="shared" si="396"/>
        <v>0</v>
      </c>
      <c r="AZ792" s="117">
        <v>2000</v>
      </c>
      <c r="BA792" s="117">
        <v>2000</v>
      </c>
      <c r="BC792" s="259"/>
      <c r="BE792" s="26">
        <v>2000</v>
      </c>
      <c r="BF792" s="26">
        <v>0</v>
      </c>
      <c r="BH792" s="26">
        <v>2000</v>
      </c>
      <c r="BI792" s="244"/>
      <c r="BJ792" s="16">
        <f t="shared" si="402"/>
        <v>2000</v>
      </c>
      <c r="BK792" s="122">
        <f t="shared" si="403"/>
        <v>0</v>
      </c>
      <c r="BM792" s="117">
        <v>2000</v>
      </c>
      <c r="BN792" s="117">
        <v>2000</v>
      </c>
      <c r="BP792" s="259"/>
      <c r="BR792" s="117">
        <v>2000</v>
      </c>
      <c r="BS792" s="26"/>
      <c r="BU792" s="26">
        <v>2000</v>
      </c>
      <c r="BV792" s="244"/>
      <c r="BW792" s="576">
        <f t="shared" si="404"/>
        <v>2000</v>
      </c>
      <c r="BX792" s="577">
        <f t="shared" si="405"/>
        <v>0</v>
      </c>
      <c r="BZ792" s="166">
        <v>2000</v>
      </c>
      <c r="CA792" s="166">
        <v>2000</v>
      </c>
      <c r="CC792" s="753"/>
      <c r="CE792" s="166">
        <v>2000</v>
      </c>
      <c r="CF792" s="166"/>
      <c r="CO792" s="16"/>
    </row>
    <row r="793" spans="1:93" s="19" customFormat="1" x14ac:dyDescent="0.3">
      <c r="A793" s="27"/>
      <c r="B793" s="8"/>
      <c r="C793" s="42"/>
      <c r="D793" s="42"/>
      <c r="E793" s="54"/>
      <c r="F793" s="8"/>
      <c r="G793" s="57" t="s">
        <v>219</v>
      </c>
      <c r="H793" s="28">
        <f>SUM(H773:H792)</f>
        <v>149317</v>
      </c>
      <c r="I793" s="28">
        <f>SUM(I773:I792)</f>
        <v>2982</v>
      </c>
      <c r="J793" s="28">
        <f>SUM(J773:J792)</f>
        <v>152299</v>
      </c>
      <c r="K793" s="123">
        <f>IF(H793=0," ",(J793-H793)/H793)</f>
        <v>1.9970934320941353E-2</v>
      </c>
      <c r="M793" s="28">
        <f>SUM(M773:M792)</f>
        <v>152299</v>
      </c>
      <c r="N793" s="28">
        <f>SUM(N773:N792)</f>
        <v>152299</v>
      </c>
      <c r="P793" s="139">
        <f>SUM(P773:P792)</f>
        <v>0</v>
      </c>
      <c r="R793" s="28">
        <f>SUM(R773:R792)</f>
        <v>152299</v>
      </c>
      <c r="S793" s="28">
        <f>SUM(S773:S792)</f>
        <v>148242.47</v>
      </c>
      <c r="U793" s="28">
        <f>SUM(U773:U792)</f>
        <v>152299</v>
      </c>
      <c r="V793" s="28">
        <f>SUM(V773:V792)</f>
        <v>0</v>
      </c>
      <c r="W793" s="28">
        <f>SUM(W773:W792)</f>
        <v>152299</v>
      </c>
      <c r="X793" s="123">
        <f>IF(U793=0," ",(W793-U793)/U793)</f>
        <v>0</v>
      </c>
      <c r="Z793" s="28">
        <f>SUM(Z773:Z792)</f>
        <v>152299</v>
      </c>
      <c r="AA793" s="28">
        <f>SUM(AA773:AA792)</f>
        <v>154870</v>
      </c>
      <c r="AC793" s="139"/>
      <c r="AE793" s="28">
        <f>SUM(AE773:AE792)</f>
        <v>154870</v>
      </c>
      <c r="AF793" s="201">
        <f>SUM(AF773:AF792)</f>
        <v>152931.71</v>
      </c>
      <c r="AH793" s="28">
        <f>SUM(AH773:AH792)</f>
        <v>154870</v>
      </c>
      <c r="AI793" s="28">
        <f>SUM(AI773:AI792)</f>
        <v>0</v>
      </c>
      <c r="AJ793" s="28">
        <f>SUM(AJ773:AJ792)</f>
        <v>154870</v>
      </c>
      <c r="AK793" s="123">
        <f>IF(AH793=0," ",(AJ793-AH793)/AH793)</f>
        <v>0</v>
      </c>
      <c r="AM793" s="28">
        <f>SUM(AM773:AM792)</f>
        <v>158168</v>
      </c>
      <c r="AN793" s="28">
        <f>SUM(AN773:AN792)</f>
        <v>158168</v>
      </c>
      <c r="AP793" s="139"/>
      <c r="AR793" s="28">
        <f>SUM(AR773:AR792)</f>
        <v>158168</v>
      </c>
      <c r="AS793" s="28">
        <f>SUM(AS773:AS792)</f>
        <v>147830.91</v>
      </c>
      <c r="AU793" s="28">
        <f>SUM(AU773:AU792)</f>
        <v>158168</v>
      </c>
      <c r="AV793" s="28">
        <f>SUM(AV773:AV792)</f>
        <v>0</v>
      </c>
      <c r="AW793" s="28">
        <f>SUM(AW773:AW792)</f>
        <v>158168</v>
      </c>
      <c r="AX793" s="123">
        <f>IF(AU793=0," ",(AW793-AU793)/AU793)</f>
        <v>0</v>
      </c>
      <c r="AZ793" s="28">
        <f>SUM(AZ773:AZ792)</f>
        <v>158168</v>
      </c>
      <c r="BA793" s="28">
        <f>SUM(BA773:BA792)</f>
        <v>174395</v>
      </c>
      <c r="BC793" s="139"/>
      <c r="BE793" s="28">
        <f>SUM(BE773:BE792)</f>
        <v>174395</v>
      </c>
      <c r="BF793" s="28">
        <f>SUM(BF773:BF792)</f>
        <v>147477.10999999996</v>
      </c>
      <c r="BG793" s="9"/>
      <c r="BH793" s="28">
        <f>SUM(BH773:BH792)</f>
        <v>174395</v>
      </c>
      <c r="BI793" s="28">
        <f>SUM(BI773:BI792)</f>
        <v>-12000</v>
      </c>
      <c r="BJ793" s="28">
        <f>SUM(BJ773:BJ792)</f>
        <v>162395</v>
      </c>
      <c r="BK793" s="123">
        <f>IF(BH793=0," ",(BJ793-BH793)/BH793)</f>
        <v>-6.8809312193583536E-2</v>
      </c>
      <c r="BM793" s="28">
        <f>SUM(BM773:BM792)</f>
        <v>162395</v>
      </c>
      <c r="BN793" s="28">
        <f>SUM(BN773:BN792)</f>
        <v>164680</v>
      </c>
      <c r="BP793" s="139"/>
      <c r="BR793" s="28">
        <f>SUM(BR773:BR792)</f>
        <v>164680</v>
      </c>
      <c r="BS793" s="28">
        <f>SUM(BS773:BS792)</f>
        <v>78437.050000000017</v>
      </c>
      <c r="BT793" s="9"/>
      <c r="BU793" s="28">
        <f>SUM(BU773:BU792)</f>
        <v>164680</v>
      </c>
      <c r="BV793" s="532">
        <f>SUM(BV773:BV792)</f>
        <v>0</v>
      </c>
      <c r="BW793" s="591">
        <f>SUM(BW773:BW792)</f>
        <v>164680</v>
      </c>
      <c r="BX793" s="579">
        <f>IF(BU793=0," ",(BW793-BU793)/BU793)</f>
        <v>0</v>
      </c>
      <c r="BY793" s="580"/>
      <c r="BZ793" s="591">
        <f>SUM(BZ773:BZ792)</f>
        <v>164680</v>
      </c>
      <c r="CA793" s="591">
        <f>SUM(CA773:CA792)</f>
        <v>176656</v>
      </c>
      <c r="CB793" s="580"/>
      <c r="CC793" s="769"/>
      <c r="CD793" s="580"/>
      <c r="CE793" s="591">
        <f>SUM(CE773:CE792)</f>
        <v>176656</v>
      </c>
      <c r="CF793" s="591">
        <f>SUM(CF773:CF792)</f>
        <v>0</v>
      </c>
      <c r="CG793" s="9"/>
      <c r="CH793" s="815"/>
      <c r="CI793" s="815"/>
      <c r="CJ793" s="887"/>
      <c r="CO793" s="16"/>
    </row>
    <row r="794" spans="1:93" ht="9.9" customHeight="1" x14ac:dyDescent="0.3">
      <c r="AS794" s="16"/>
      <c r="CO794" s="16"/>
    </row>
    <row r="795" spans="1:93" s="1" customFormat="1" x14ac:dyDescent="0.3">
      <c r="A795" s="20"/>
      <c r="B795" s="5"/>
      <c r="C795" s="39"/>
      <c r="D795" s="39"/>
      <c r="E795" s="51"/>
      <c r="F795" s="5"/>
      <c r="G795" s="21" t="s">
        <v>221</v>
      </c>
      <c r="H795" s="22">
        <f>H771+H793</f>
        <v>570391</v>
      </c>
      <c r="I795" s="22">
        <f>I771+I793</f>
        <v>14891</v>
      </c>
      <c r="J795" s="22">
        <f>J771+J793</f>
        <v>585282</v>
      </c>
      <c r="K795" s="124">
        <f>IF(H795=0," ",(J795-H795)/H795)</f>
        <v>2.6106653155467039E-2</v>
      </c>
      <c r="M795" s="22">
        <f>M771+M793</f>
        <v>585282</v>
      </c>
      <c r="N795" s="22">
        <f>N771+N793</f>
        <v>585282</v>
      </c>
      <c r="P795" s="136">
        <f>P771+P793</f>
        <v>0</v>
      </c>
      <c r="R795" s="22">
        <f>R771+R793</f>
        <v>585282</v>
      </c>
      <c r="S795" s="22">
        <f>S771+S793</f>
        <v>578405.46000000008</v>
      </c>
      <c r="U795" s="22">
        <f>U771+U793</f>
        <v>585282</v>
      </c>
      <c r="V795" s="22">
        <f>V771+V793</f>
        <v>19621</v>
      </c>
      <c r="W795" s="22">
        <f>W771+W793</f>
        <v>604903</v>
      </c>
      <c r="X795" s="124">
        <f>IF(U795=0," ",(W795-U795)/U795)</f>
        <v>3.3524010647858642E-2</v>
      </c>
      <c r="Z795" s="22">
        <f>Z771+Z793</f>
        <v>604903</v>
      </c>
      <c r="AA795" s="22">
        <f>AA771+AA793</f>
        <v>607474</v>
      </c>
      <c r="AC795" s="136"/>
      <c r="AE795" s="22">
        <f>AE771+AE793</f>
        <v>607474</v>
      </c>
      <c r="AF795" s="199">
        <f>AF771+AF793</f>
        <v>603677.30999999994</v>
      </c>
      <c r="AH795" s="22">
        <v>607474</v>
      </c>
      <c r="AI795" s="22">
        <f>AI771+AI793</f>
        <v>25586</v>
      </c>
      <c r="AJ795" s="22">
        <f>AJ771+AJ793</f>
        <v>633060</v>
      </c>
      <c r="AK795" s="124">
        <f>IF(AH795=0," ",(AJ795-AH795)/AH795)</f>
        <v>4.211867503794401E-2</v>
      </c>
      <c r="AM795" s="22">
        <f>AM771+AM793</f>
        <v>636358</v>
      </c>
      <c r="AN795" s="22">
        <f>AN771+AN793</f>
        <v>636358</v>
      </c>
      <c r="AP795" s="136"/>
      <c r="AR795" s="22">
        <f>AR771+AR793</f>
        <v>636358</v>
      </c>
      <c r="AS795" s="22">
        <f>AS771+AS793</f>
        <v>624856.15</v>
      </c>
      <c r="AU795" s="22">
        <f>AU771+AU793</f>
        <v>636358</v>
      </c>
      <c r="AV795" s="22">
        <f>AV771+AV793</f>
        <v>20221</v>
      </c>
      <c r="AW795" s="22">
        <f>AW771+AW793</f>
        <v>656579</v>
      </c>
      <c r="AX795" s="124">
        <f>IF(AU795=0," ",(AW795-AU795)/AU795)</f>
        <v>3.1776138588656071E-2</v>
      </c>
      <c r="AZ795" s="22">
        <f>AZ771+AZ793</f>
        <v>654625</v>
      </c>
      <c r="BA795" s="22">
        <f>BA771+BA793</f>
        <v>663086</v>
      </c>
      <c r="BC795" s="136"/>
      <c r="BE795" s="22">
        <f>BE771+BE793</f>
        <v>663086</v>
      </c>
      <c r="BF795" s="22">
        <f>BF771+BF793</f>
        <v>588540.30000000005</v>
      </c>
      <c r="BH795" s="22">
        <f>BH771+BH793</f>
        <v>663086</v>
      </c>
      <c r="BI795" s="22">
        <f>BI771+BI793</f>
        <v>-12889</v>
      </c>
      <c r="BJ795" s="22">
        <f>BJ771+BJ793</f>
        <v>650197</v>
      </c>
      <c r="BK795" s="124">
        <f>IF(BH795=0," ",(BJ795-BH795)/BH795)</f>
        <v>-1.9437900966088863E-2</v>
      </c>
      <c r="BM795" s="22">
        <f>BM771+BM793</f>
        <v>650197</v>
      </c>
      <c r="BN795" s="22">
        <f>BN771+BN793</f>
        <v>652482</v>
      </c>
      <c r="BP795" s="136"/>
      <c r="BR795" s="22">
        <f>BR771+BR793</f>
        <v>652482</v>
      </c>
      <c r="BS795" s="22">
        <f>BS771+BS793</f>
        <v>286255.55000000005</v>
      </c>
      <c r="BU795" s="22">
        <f>BU771+BU793</f>
        <v>652482</v>
      </c>
      <c r="BV795" s="531">
        <f>BV771+BV793</f>
        <v>2451</v>
      </c>
      <c r="BW795" s="581">
        <f>BW771+BW793</f>
        <v>654933</v>
      </c>
      <c r="BX795" s="582">
        <f>IF(BU795=0," ",(BW795-BU795)/BU795)</f>
        <v>3.7564254646105179E-3</v>
      </c>
      <c r="BY795" s="573"/>
      <c r="BZ795" s="581">
        <f>BZ771+BZ793</f>
        <v>654933</v>
      </c>
      <c r="CA795" s="581">
        <f>CA771+CA793</f>
        <v>666909</v>
      </c>
      <c r="CB795" s="573"/>
      <c r="CC795" s="764"/>
      <c r="CD795" s="573"/>
      <c r="CE795" s="581">
        <f>CE771+CE793</f>
        <v>666909</v>
      </c>
      <c r="CF795" s="581">
        <f>CF771+CF793</f>
        <v>0</v>
      </c>
      <c r="CH795" s="812"/>
      <c r="CI795" s="812"/>
      <c r="CJ795" s="887"/>
      <c r="CO795" s="16"/>
    </row>
    <row r="796" spans="1:93" ht="20.100000000000001" customHeight="1" x14ac:dyDescent="0.3">
      <c r="AS796" s="16"/>
      <c r="CO796" s="16"/>
    </row>
    <row r="797" spans="1:93" s="1" customFormat="1" ht="15.6" x14ac:dyDescent="0.3">
      <c r="A797" s="14" t="s">
        <v>1212</v>
      </c>
      <c r="B797" s="2"/>
      <c r="C797" s="36"/>
      <c r="D797" s="36"/>
      <c r="E797" s="48"/>
      <c r="F797" s="2"/>
      <c r="G797" s="2"/>
      <c r="H797" s="15"/>
      <c r="I797" s="15"/>
      <c r="J797" s="15"/>
      <c r="K797" s="121"/>
      <c r="M797" s="15"/>
      <c r="N797" s="15"/>
      <c r="P797" s="133"/>
      <c r="R797" s="15"/>
      <c r="S797" s="15"/>
      <c r="U797" s="15"/>
      <c r="V797" s="15"/>
      <c r="W797" s="15"/>
      <c r="X797" s="121"/>
      <c r="Z797" s="15"/>
      <c r="AA797" s="15"/>
      <c r="AC797" s="133"/>
      <c r="AE797" s="15"/>
      <c r="AF797" s="196"/>
      <c r="AH797" s="15"/>
      <c r="AI797" s="15"/>
      <c r="AJ797" s="15"/>
      <c r="AK797" s="121"/>
      <c r="AM797" s="15"/>
      <c r="AN797" s="15"/>
      <c r="AP797" s="133"/>
      <c r="AR797" s="15"/>
      <c r="AS797" s="15"/>
      <c r="AU797" s="15"/>
      <c r="AV797" s="15"/>
      <c r="AW797" s="15"/>
      <c r="AX797" s="121"/>
      <c r="AZ797" s="15"/>
      <c r="BA797" s="15"/>
      <c r="BC797" s="133"/>
      <c r="BE797" s="15"/>
      <c r="BF797" s="15"/>
      <c r="BH797" s="15"/>
      <c r="BI797" s="15"/>
      <c r="BJ797" s="15"/>
      <c r="BK797" s="121"/>
      <c r="BM797" s="15"/>
      <c r="BN797" s="15"/>
      <c r="BP797" s="234"/>
      <c r="BR797" s="15"/>
      <c r="BS797" s="15"/>
      <c r="BU797" s="15"/>
      <c r="BV797" s="529"/>
      <c r="BW797" s="574"/>
      <c r="BX797" s="575"/>
      <c r="BY797" s="573"/>
      <c r="BZ797" s="574"/>
      <c r="CA797" s="574"/>
      <c r="CB797" s="573"/>
      <c r="CC797" s="761"/>
      <c r="CD797" s="573"/>
      <c r="CE797" s="574"/>
      <c r="CF797" s="574"/>
      <c r="CH797" s="812"/>
      <c r="CI797" s="812"/>
      <c r="CJ797" s="887"/>
      <c r="CO797" s="16"/>
    </row>
    <row r="798" spans="1:93" x14ac:dyDescent="0.3">
      <c r="A798" s="11">
        <v>630</v>
      </c>
      <c r="B798" s="3" t="s">
        <v>2</v>
      </c>
      <c r="C798" s="37">
        <v>63001</v>
      </c>
      <c r="D798" s="37">
        <v>51129</v>
      </c>
      <c r="E798" s="49" t="s">
        <v>11</v>
      </c>
      <c r="F798" s="3" t="s">
        <v>2</v>
      </c>
      <c r="G798" s="3" t="s">
        <v>1219</v>
      </c>
      <c r="H798" s="26"/>
      <c r="I798" s="244"/>
      <c r="J798" s="16">
        <f>H798+I798</f>
        <v>0</v>
      </c>
      <c r="K798" s="122" t="str">
        <f>IF(H798=0," ",(J798-H798)/H798)</f>
        <v xml:space="preserve"> </v>
      </c>
      <c r="M798" s="117"/>
      <c r="N798" s="117"/>
      <c r="P798" s="259"/>
      <c r="R798" s="26"/>
      <c r="S798" s="26">
        <v>0</v>
      </c>
      <c r="U798" s="26"/>
      <c r="V798" s="244">
        <v>0</v>
      </c>
      <c r="W798" s="16">
        <f>U798+V798</f>
        <v>0</v>
      </c>
      <c r="X798" s="122" t="str">
        <f>IF(U798=0," ",(W798-U798)/U798)</f>
        <v xml:space="preserve"> </v>
      </c>
      <c r="Z798" s="117"/>
      <c r="AA798" s="117"/>
      <c r="AC798" s="259"/>
      <c r="AE798" s="26"/>
      <c r="AF798" s="200">
        <v>0</v>
      </c>
      <c r="AH798" s="26"/>
      <c r="AI798" s="244"/>
      <c r="AJ798" s="16">
        <f>AH798+AI798</f>
        <v>0</v>
      </c>
      <c r="AK798" s="122" t="str">
        <f>IF(AH798=0," ",(AJ798-AH798)/AH798)</f>
        <v xml:space="preserve"> </v>
      </c>
      <c r="AM798" s="117"/>
      <c r="AN798" s="117"/>
      <c r="AP798" s="259"/>
      <c r="AR798" s="26"/>
      <c r="AS798" s="26"/>
      <c r="AU798" s="26"/>
      <c r="AV798" s="244"/>
      <c r="AW798" s="16">
        <f>AU798+AV798</f>
        <v>0</v>
      </c>
      <c r="AX798" s="122" t="str">
        <f>IF(AU798=0," ",(AW798-AU798)/AU798)</f>
        <v xml:space="preserve"> </v>
      </c>
      <c r="AZ798" s="117"/>
      <c r="BA798" s="117"/>
      <c r="BC798" s="259"/>
      <c r="BE798" s="26"/>
      <c r="BF798" s="26">
        <v>0</v>
      </c>
      <c r="BH798" s="26"/>
      <c r="BI798" s="244"/>
      <c r="BJ798" s="16">
        <f>BH798+BI798</f>
        <v>0</v>
      </c>
      <c r="BK798" s="122" t="str">
        <f>IF(BH798=0," ",(BJ798-BH798)/BH798)</f>
        <v xml:space="preserve"> </v>
      </c>
      <c r="BM798" s="117"/>
      <c r="BN798" s="117">
        <v>31103</v>
      </c>
      <c r="BP798" s="266" t="s">
        <v>1225</v>
      </c>
      <c r="BR798" s="117">
        <v>31103</v>
      </c>
      <c r="BS798" s="26">
        <v>6401.67</v>
      </c>
      <c r="BU798" s="26">
        <v>31103</v>
      </c>
      <c r="BV798" s="244">
        <v>605</v>
      </c>
      <c r="BW798" s="576">
        <f>BU798+BV798</f>
        <v>31708</v>
      </c>
      <c r="BX798" s="577">
        <f>IF(BU798=0," ",(BW798-BU798)/BU798)</f>
        <v>1.9451499855319423E-2</v>
      </c>
      <c r="BZ798" s="166">
        <v>31708</v>
      </c>
      <c r="CA798" s="166">
        <v>31708</v>
      </c>
      <c r="CC798" s="765" t="s">
        <v>1336</v>
      </c>
      <c r="CE798" s="166">
        <v>31708</v>
      </c>
      <c r="CF798" s="166"/>
      <c r="CO798" s="16"/>
    </row>
    <row r="799" spans="1:93" s="19" customFormat="1" x14ac:dyDescent="0.3">
      <c r="A799" s="27"/>
      <c r="B799" s="8"/>
      <c r="C799" s="42"/>
      <c r="D799" s="42"/>
      <c r="E799" s="54"/>
      <c r="F799" s="8"/>
      <c r="G799" s="56" t="s">
        <v>1213</v>
      </c>
      <c r="H799" s="28">
        <f t="shared" ref="H799" si="406">SUM(H798)</f>
        <v>0</v>
      </c>
      <c r="I799" s="28">
        <f>SUM(I798)</f>
        <v>0</v>
      </c>
      <c r="J799" s="28">
        <f>SUM(J798)</f>
        <v>0</v>
      </c>
      <c r="K799" s="123" t="str">
        <f>IF(H799=0," ",(J799-H799)/H799)</f>
        <v xml:space="preserve"> </v>
      </c>
      <c r="M799" s="28">
        <f>SUM(M798)</f>
        <v>0</v>
      </c>
      <c r="N799" s="28">
        <f>SUM(N798)</f>
        <v>0</v>
      </c>
      <c r="P799" s="139">
        <f>SUM(P798)</f>
        <v>0</v>
      </c>
      <c r="R799" s="28">
        <f>SUM(R798)</f>
        <v>0</v>
      </c>
      <c r="S799" s="28">
        <f>SUM(S798)</f>
        <v>0</v>
      </c>
      <c r="U799" s="28">
        <f>SUM(U798)</f>
        <v>0</v>
      </c>
      <c r="V799" s="28">
        <f>SUM(V798)</f>
        <v>0</v>
      </c>
      <c r="W799" s="28">
        <f>SUM(W798)</f>
        <v>0</v>
      </c>
      <c r="X799" s="123" t="str">
        <f>IF(U799=0," ",(W799-U799)/U799)</f>
        <v xml:space="preserve"> </v>
      </c>
      <c r="Z799" s="28">
        <f>SUM(Z798)</f>
        <v>0</v>
      </c>
      <c r="AA799" s="28">
        <f>SUM(AA798)</f>
        <v>0</v>
      </c>
      <c r="AC799" s="139"/>
      <c r="AE799" s="28">
        <f>SUM(AE798)</f>
        <v>0</v>
      </c>
      <c r="AF799" s="201">
        <f>SUM(AF798)</f>
        <v>0</v>
      </c>
      <c r="AH799" s="28">
        <v>100</v>
      </c>
      <c r="AI799" s="28">
        <f>SUM(AI798)</f>
        <v>0</v>
      </c>
      <c r="AJ799" s="28">
        <f>SUM(AJ798)</f>
        <v>0</v>
      </c>
      <c r="AK799" s="123">
        <f>IF(AH799=0," ",(AJ799-AH799)/AH799)</f>
        <v>-1</v>
      </c>
      <c r="AM799" s="28">
        <f>SUM(AM798)</f>
        <v>0</v>
      </c>
      <c r="AN799" s="28">
        <f>SUM(AN798)</f>
        <v>0</v>
      </c>
      <c r="AP799" s="139"/>
      <c r="AR799" s="28">
        <f>SUM(AR798)</f>
        <v>0</v>
      </c>
      <c r="AS799" s="28">
        <f>SUM(AS798)</f>
        <v>0</v>
      </c>
      <c r="AU799" s="28">
        <f>SUM(AU798)</f>
        <v>0</v>
      </c>
      <c r="AV799" s="28">
        <f>SUM(AV798)</f>
        <v>0</v>
      </c>
      <c r="AW799" s="28">
        <f>SUM(AW798)</f>
        <v>0</v>
      </c>
      <c r="AX799" s="123" t="str">
        <f>IF(AU799=0," ",(AW799-AU799)/AU799)</f>
        <v xml:space="preserve"> </v>
      </c>
      <c r="AZ799" s="28">
        <f>SUM(AZ798)</f>
        <v>0</v>
      </c>
      <c r="BA799" s="28">
        <f>SUM(BA798)</f>
        <v>0</v>
      </c>
      <c r="BC799" s="139"/>
      <c r="BE799" s="28">
        <f>SUM(BE798)</f>
        <v>0</v>
      </c>
      <c r="BF799" s="28">
        <f>SUM(BF798)</f>
        <v>0</v>
      </c>
      <c r="BG799" s="9"/>
      <c r="BH799" s="28">
        <f>SUM(BH798)</f>
        <v>0</v>
      </c>
      <c r="BI799" s="28">
        <f>SUM(BI798)</f>
        <v>0</v>
      </c>
      <c r="BJ799" s="28">
        <f>SUM(BJ798)</f>
        <v>0</v>
      </c>
      <c r="BK799" s="123" t="str">
        <f>IF(BH799=0," ",(BJ799-BH799)/BH799)</f>
        <v xml:space="preserve"> </v>
      </c>
      <c r="BM799" s="28">
        <f>SUM(BM798)</f>
        <v>0</v>
      </c>
      <c r="BN799" s="28">
        <f>SUM(BN798)</f>
        <v>31103</v>
      </c>
      <c r="BP799" s="139"/>
      <c r="BR799" s="28">
        <f>SUM(BR798)</f>
        <v>31103</v>
      </c>
      <c r="BS799" s="28">
        <f>SUM(BS798)</f>
        <v>6401.67</v>
      </c>
      <c r="BT799" s="9"/>
      <c r="BU799" s="28">
        <f>SUM(BU798)</f>
        <v>31103</v>
      </c>
      <c r="BV799" s="532">
        <f>SUM(BV798)</f>
        <v>605</v>
      </c>
      <c r="BW799" s="591">
        <f>SUM(BW798)</f>
        <v>31708</v>
      </c>
      <c r="BX799" s="579">
        <f>IF(BU799=0," ",(BW799-BU799)/BU799)</f>
        <v>1.9451499855319423E-2</v>
      </c>
      <c r="BY799" s="580"/>
      <c r="BZ799" s="591">
        <f>SUM(BZ798)</f>
        <v>31708</v>
      </c>
      <c r="CA799" s="591">
        <f>SUM(CA798)</f>
        <v>31708</v>
      </c>
      <c r="CB799" s="580"/>
      <c r="CC799" s="769"/>
      <c r="CD799" s="580"/>
      <c r="CE799" s="591">
        <f>SUM(CE798)</f>
        <v>31708</v>
      </c>
      <c r="CF799" s="591">
        <f>SUM(CF798)</f>
        <v>0</v>
      </c>
      <c r="CG799" s="9"/>
      <c r="CH799" s="815"/>
      <c r="CI799" s="815"/>
      <c r="CJ799" s="887"/>
      <c r="CO799" s="16"/>
    </row>
    <row r="800" spans="1:93" x14ac:dyDescent="0.3">
      <c r="H800" s="26"/>
      <c r="AS800" s="16"/>
      <c r="CO800" s="16"/>
    </row>
    <row r="801" spans="1:93" x14ac:dyDescent="0.3">
      <c r="A801" s="11">
        <v>630</v>
      </c>
      <c r="B801" s="3" t="s">
        <v>2</v>
      </c>
      <c r="C801" s="37">
        <v>63005</v>
      </c>
      <c r="D801" s="37">
        <v>53430</v>
      </c>
      <c r="E801" s="49" t="s">
        <v>118</v>
      </c>
      <c r="F801" s="3" t="s">
        <v>2</v>
      </c>
      <c r="G801" s="3" t="s">
        <v>1217</v>
      </c>
      <c r="H801" s="26"/>
      <c r="I801" s="244"/>
      <c r="J801" s="16">
        <f>H801+I801</f>
        <v>0</v>
      </c>
      <c r="K801" s="122" t="str">
        <f t="shared" ref="K801:K806" si="407">IF(H801=0," ",(J801-H801)/H801)</f>
        <v xml:space="preserve"> </v>
      </c>
      <c r="M801" s="117"/>
      <c r="N801" s="117"/>
      <c r="P801" s="259"/>
      <c r="R801" s="26"/>
      <c r="S801" s="26"/>
      <c r="U801" s="26"/>
      <c r="V801" s="244">
        <v>0</v>
      </c>
      <c r="W801" s="16">
        <f>U801+V801</f>
        <v>0</v>
      </c>
      <c r="X801" s="122" t="str">
        <f t="shared" ref="X801:X806" si="408">IF(U801=0," ",(W801-U801)/U801)</f>
        <v xml:space="preserve"> </v>
      </c>
      <c r="Z801" s="117"/>
      <c r="AA801" s="117"/>
      <c r="AC801" s="259"/>
      <c r="AE801" s="26"/>
      <c r="AF801" s="200"/>
      <c r="AH801" s="26"/>
      <c r="AI801" s="244"/>
      <c r="AJ801" s="16">
        <f>AH801+AI801</f>
        <v>0</v>
      </c>
      <c r="AK801" s="122" t="str">
        <f t="shared" ref="AK801:AK806" si="409">IF(AH801=0," ",(AJ801-AH801)/AH801)</f>
        <v xml:space="preserve"> </v>
      </c>
      <c r="AM801" s="117"/>
      <c r="AN801" s="117"/>
      <c r="AP801" s="259"/>
      <c r="AR801" s="26"/>
      <c r="AS801" s="26">
        <v>0</v>
      </c>
      <c r="AU801" s="26"/>
      <c r="AV801" s="244"/>
      <c r="AW801" s="16">
        <f>AU801+AV801</f>
        <v>0</v>
      </c>
      <c r="AX801" s="122" t="str">
        <f t="shared" ref="AX801:AX806" si="410">IF(AU801=0," ",(AW801-AU801)/AU801)</f>
        <v xml:space="preserve"> </v>
      </c>
      <c r="AZ801" s="117"/>
      <c r="BA801" s="117"/>
      <c r="BC801" s="259"/>
      <c r="BE801" s="26"/>
      <c r="BF801" s="26"/>
      <c r="BH801" s="26"/>
      <c r="BI801" s="244"/>
      <c r="BJ801" s="16">
        <f>BH801+BI801</f>
        <v>0</v>
      </c>
      <c r="BK801" s="122" t="str">
        <f t="shared" ref="BK801:BK806" si="411">IF(BH801=0," ",(BJ801-BH801)/BH801)</f>
        <v xml:space="preserve"> </v>
      </c>
      <c r="BM801" s="117"/>
      <c r="BN801" s="117">
        <v>400</v>
      </c>
      <c r="BP801" s="266" t="s">
        <v>1224</v>
      </c>
      <c r="BR801" s="117">
        <v>400</v>
      </c>
      <c r="BS801" s="26">
        <v>8.6999999999999993</v>
      </c>
      <c r="BU801" s="26">
        <v>400</v>
      </c>
      <c r="BV801" s="244">
        <v>-250</v>
      </c>
      <c r="BW801" s="576">
        <f>BU801+BV801</f>
        <v>150</v>
      </c>
      <c r="BX801" s="577">
        <f t="shared" ref="BX801:BX806" si="412">IF(BU801=0," ",(BW801-BU801)/BU801)</f>
        <v>-0.625</v>
      </c>
      <c r="BZ801" s="166">
        <v>150</v>
      </c>
      <c r="CA801" s="166">
        <v>150</v>
      </c>
      <c r="CC801" s="755" t="s">
        <v>1372</v>
      </c>
      <c r="CE801" s="166">
        <v>150</v>
      </c>
      <c r="CF801" s="166"/>
      <c r="CO801" s="16"/>
    </row>
    <row r="802" spans="1:93" x14ac:dyDescent="0.3">
      <c r="A802" s="11">
        <v>630</v>
      </c>
      <c r="B802" s="3" t="s">
        <v>2</v>
      </c>
      <c r="C802" s="37">
        <v>63005</v>
      </c>
      <c r="D802" s="37">
        <v>54200</v>
      </c>
      <c r="E802" s="49" t="s">
        <v>118</v>
      </c>
      <c r="F802" s="3" t="s">
        <v>2</v>
      </c>
      <c r="G802" s="3" t="s">
        <v>1216</v>
      </c>
      <c r="H802" s="26"/>
      <c r="I802" s="244"/>
      <c r="J802" s="16">
        <f>H802+I802</f>
        <v>0</v>
      </c>
      <c r="K802" s="122" t="str">
        <f t="shared" si="407"/>
        <v xml:space="preserve"> </v>
      </c>
      <c r="M802" s="117"/>
      <c r="N802" s="117"/>
      <c r="P802" s="259"/>
      <c r="R802" s="26"/>
      <c r="S802" s="26"/>
      <c r="U802" s="26"/>
      <c r="V802" s="244">
        <v>0</v>
      </c>
      <c r="W802" s="16">
        <f>U802+V802</f>
        <v>0</v>
      </c>
      <c r="X802" s="122" t="str">
        <f t="shared" si="408"/>
        <v xml:space="preserve"> </v>
      </c>
      <c r="Z802" s="117"/>
      <c r="AA802" s="117"/>
      <c r="AC802" s="259"/>
      <c r="AE802" s="26"/>
      <c r="AF802" s="200"/>
      <c r="AH802" s="26"/>
      <c r="AI802" s="244"/>
      <c r="AJ802" s="16">
        <f>AH802+AI802</f>
        <v>0</v>
      </c>
      <c r="AK802" s="122" t="str">
        <f t="shared" si="409"/>
        <v xml:space="preserve"> </v>
      </c>
      <c r="AM802" s="117"/>
      <c r="AN802" s="117"/>
      <c r="AP802" s="259"/>
      <c r="AR802" s="26"/>
      <c r="AS802" s="26">
        <v>0</v>
      </c>
      <c r="AU802" s="26"/>
      <c r="AV802" s="244"/>
      <c r="AW802" s="16">
        <f>AU802+AV802</f>
        <v>0</v>
      </c>
      <c r="AX802" s="122" t="str">
        <f t="shared" si="410"/>
        <v xml:space="preserve"> </v>
      </c>
      <c r="AZ802" s="117"/>
      <c r="BA802" s="117"/>
      <c r="BC802" s="259"/>
      <c r="BE802" s="26"/>
      <c r="BF802" s="26"/>
      <c r="BH802" s="26"/>
      <c r="BI802" s="244"/>
      <c r="BJ802" s="16">
        <f>BH802+BI802</f>
        <v>0</v>
      </c>
      <c r="BK802" s="122" t="str">
        <f t="shared" si="411"/>
        <v xml:space="preserve"> </v>
      </c>
      <c r="BM802" s="117"/>
      <c r="BN802" s="117">
        <v>400</v>
      </c>
      <c r="BP802" s="266" t="s">
        <v>1224</v>
      </c>
      <c r="BR802" s="117">
        <v>400</v>
      </c>
      <c r="BS802" s="26">
        <v>0</v>
      </c>
      <c r="BU802" s="26">
        <v>400</v>
      </c>
      <c r="BV802" s="244"/>
      <c r="BW802" s="576">
        <f>BU802+BV802</f>
        <v>400</v>
      </c>
      <c r="BX802" s="577">
        <f t="shared" si="412"/>
        <v>0</v>
      </c>
      <c r="BZ802" s="166">
        <v>400</v>
      </c>
      <c r="CA802" s="166">
        <v>400</v>
      </c>
      <c r="CC802" s="753"/>
      <c r="CE802" s="166">
        <v>400</v>
      </c>
      <c r="CF802" s="166"/>
      <c r="CO802" s="16"/>
    </row>
    <row r="803" spans="1:93" x14ac:dyDescent="0.3">
      <c r="A803" s="11">
        <v>630</v>
      </c>
      <c r="B803" s="3" t="s">
        <v>2</v>
      </c>
      <c r="C803" s="37">
        <v>63005</v>
      </c>
      <c r="D803" s="37">
        <v>54650</v>
      </c>
      <c r="E803" s="49" t="s">
        <v>118</v>
      </c>
      <c r="F803" s="3" t="s">
        <v>2</v>
      </c>
      <c r="G803" s="3" t="s">
        <v>1220</v>
      </c>
      <c r="H803" s="26"/>
      <c r="I803" s="244"/>
      <c r="J803" s="16">
        <f>H803+I803</f>
        <v>0</v>
      </c>
      <c r="K803" s="122" t="str">
        <f t="shared" si="407"/>
        <v xml:space="preserve"> </v>
      </c>
      <c r="M803" s="117"/>
      <c r="N803" s="117"/>
      <c r="P803" s="259"/>
      <c r="R803" s="26"/>
      <c r="S803" s="26"/>
      <c r="U803" s="26"/>
      <c r="V803" s="244">
        <v>0</v>
      </c>
      <c r="W803" s="16">
        <f>U803+V803</f>
        <v>0</v>
      </c>
      <c r="X803" s="122" t="str">
        <f t="shared" si="408"/>
        <v xml:space="preserve"> </v>
      </c>
      <c r="Z803" s="117"/>
      <c r="AA803" s="117"/>
      <c r="AC803" s="259"/>
      <c r="AE803" s="26"/>
      <c r="AF803" s="200"/>
      <c r="AH803" s="26"/>
      <c r="AI803" s="244"/>
      <c r="AJ803" s="16">
        <f>AH803+AI803</f>
        <v>0</v>
      </c>
      <c r="AK803" s="122" t="str">
        <f t="shared" si="409"/>
        <v xml:space="preserve"> </v>
      </c>
      <c r="AM803" s="117"/>
      <c r="AN803" s="117"/>
      <c r="AP803" s="259"/>
      <c r="AR803" s="26"/>
      <c r="AS803" s="26">
        <v>0</v>
      </c>
      <c r="AU803" s="26"/>
      <c r="AV803" s="244"/>
      <c r="AW803" s="16">
        <f>AU803+AV803</f>
        <v>0</v>
      </c>
      <c r="AX803" s="122" t="str">
        <f t="shared" si="410"/>
        <v xml:space="preserve"> </v>
      </c>
      <c r="AZ803" s="117"/>
      <c r="BA803" s="117"/>
      <c r="BC803" s="259"/>
      <c r="BE803" s="26"/>
      <c r="BF803" s="26"/>
      <c r="BH803" s="26"/>
      <c r="BI803" s="244"/>
      <c r="BJ803" s="16">
        <f>BH803+BI803</f>
        <v>0</v>
      </c>
      <c r="BK803" s="122" t="str">
        <f t="shared" si="411"/>
        <v xml:space="preserve"> </v>
      </c>
      <c r="BM803" s="117"/>
      <c r="BN803" s="117">
        <v>500</v>
      </c>
      <c r="BP803" s="266" t="s">
        <v>1223</v>
      </c>
      <c r="BR803" s="117">
        <v>500</v>
      </c>
      <c r="BS803" s="26">
        <v>0</v>
      </c>
      <c r="BU803" s="26">
        <v>500</v>
      </c>
      <c r="BV803" s="244"/>
      <c r="BW803" s="576">
        <f>BU803+BV803</f>
        <v>500</v>
      </c>
      <c r="BX803" s="577">
        <f t="shared" si="412"/>
        <v>0</v>
      </c>
      <c r="BZ803" s="166">
        <v>500</v>
      </c>
      <c r="CA803" s="166">
        <v>500</v>
      </c>
      <c r="CC803" s="753"/>
      <c r="CE803" s="166">
        <v>500</v>
      </c>
      <c r="CF803" s="166"/>
      <c r="CO803" s="16"/>
    </row>
    <row r="804" spans="1:93" x14ac:dyDescent="0.3">
      <c r="A804" s="11">
        <v>630</v>
      </c>
      <c r="B804" s="3" t="s">
        <v>2</v>
      </c>
      <c r="C804" s="37">
        <v>63005</v>
      </c>
      <c r="D804" s="37">
        <v>55800</v>
      </c>
      <c r="E804" s="49" t="s">
        <v>118</v>
      </c>
      <c r="F804" s="3" t="s">
        <v>2</v>
      </c>
      <c r="G804" s="3" t="s">
        <v>1218</v>
      </c>
      <c r="H804" s="26"/>
      <c r="I804" s="244"/>
      <c r="J804" s="16">
        <f>H804+I804</f>
        <v>0</v>
      </c>
      <c r="K804" s="122" t="str">
        <f t="shared" si="407"/>
        <v xml:space="preserve"> </v>
      </c>
      <c r="M804" s="117"/>
      <c r="N804" s="117"/>
      <c r="P804" s="259"/>
      <c r="R804" s="26"/>
      <c r="S804" s="26"/>
      <c r="U804" s="26"/>
      <c r="V804" s="244">
        <v>0</v>
      </c>
      <c r="W804" s="16">
        <f>U804+V804</f>
        <v>0</v>
      </c>
      <c r="X804" s="122" t="str">
        <f t="shared" si="408"/>
        <v xml:space="preserve"> </v>
      </c>
      <c r="Z804" s="117"/>
      <c r="AA804" s="117"/>
      <c r="AC804" s="259"/>
      <c r="AE804" s="26"/>
      <c r="AF804" s="200"/>
      <c r="AH804" s="26"/>
      <c r="AI804" s="244"/>
      <c r="AJ804" s="16">
        <f>AH804+AI804</f>
        <v>0</v>
      </c>
      <c r="AK804" s="122" t="str">
        <f t="shared" si="409"/>
        <v xml:space="preserve"> </v>
      </c>
      <c r="AM804" s="117"/>
      <c r="AN804" s="117"/>
      <c r="AP804" s="259"/>
      <c r="AR804" s="26"/>
      <c r="AS804" s="26">
        <v>0</v>
      </c>
      <c r="AU804" s="26"/>
      <c r="AV804" s="244"/>
      <c r="AW804" s="16">
        <f>AU804+AV804</f>
        <v>0</v>
      </c>
      <c r="AX804" s="122" t="str">
        <f t="shared" si="410"/>
        <v xml:space="preserve"> </v>
      </c>
      <c r="AZ804" s="117"/>
      <c r="BA804" s="117"/>
      <c r="BC804" s="259"/>
      <c r="BE804" s="26"/>
      <c r="BF804" s="26"/>
      <c r="BH804" s="26"/>
      <c r="BI804" s="244"/>
      <c r="BJ804" s="16">
        <f>BH804+BI804</f>
        <v>0</v>
      </c>
      <c r="BK804" s="122" t="str">
        <f t="shared" si="411"/>
        <v xml:space="preserve"> </v>
      </c>
      <c r="BM804" s="117"/>
      <c r="BN804" s="117">
        <v>500</v>
      </c>
      <c r="BP804" s="266" t="s">
        <v>1223</v>
      </c>
      <c r="BR804" s="117">
        <v>500</v>
      </c>
      <c r="BS804" s="26">
        <v>40</v>
      </c>
      <c r="BU804" s="26">
        <v>500</v>
      </c>
      <c r="BV804" s="244"/>
      <c r="BW804" s="576">
        <f>BU804+BV804</f>
        <v>500</v>
      </c>
      <c r="BX804" s="577">
        <f t="shared" si="412"/>
        <v>0</v>
      </c>
      <c r="BZ804" s="166">
        <v>500</v>
      </c>
      <c r="CA804" s="166">
        <v>500</v>
      </c>
      <c r="CC804" s="753"/>
      <c r="CE804" s="166">
        <v>500</v>
      </c>
      <c r="CF804" s="166"/>
      <c r="CO804" s="16"/>
    </row>
    <row r="805" spans="1:93" x14ac:dyDescent="0.3">
      <c r="A805" s="11">
        <v>630</v>
      </c>
      <c r="B805" s="3" t="s">
        <v>2</v>
      </c>
      <c r="C805" s="37">
        <v>63005</v>
      </c>
      <c r="D805" s="37">
        <v>57300</v>
      </c>
      <c r="E805" s="49" t="s">
        <v>118</v>
      </c>
      <c r="F805" s="3" t="s">
        <v>2</v>
      </c>
      <c r="G805" s="3" t="s">
        <v>1221</v>
      </c>
      <c r="H805" s="26"/>
      <c r="I805" s="244"/>
      <c r="J805" s="16">
        <f>H805+I805</f>
        <v>0</v>
      </c>
      <c r="K805" s="122" t="str">
        <f t="shared" si="407"/>
        <v xml:space="preserve"> </v>
      </c>
      <c r="M805" s="117"/>
      <c r="N805" s="117"/>
      <c r="P805" s="259"/>
      <c r="R805" s="26"/>
      <c r="S805" s="26"/>
      <c r="U805" s="26"/>
      <c r="V805" s="244">
        <v>0</v>
      </c>
      <c r="W805" s="16">
        <f>U805+V805</f>
        <v>0</v>
      </c>
      <c r="X805" s="122" t="str">
        <f t="shared" si="408"/>
        <v xml:space="preserve"> </v>
      </c>
      <c r="Z805" s="117"/>
      <c r="AA805" s="117"/>
      <c r="AC805" s="259"/>
      <c r="AE805" s="26"/>
      <c r="AF805" s="200"/>
      <c r="AH805" s="26"/>
      <c r="AI805" s="244"/>
      <c r="AJ805" s="16">
        <f>AH805+AI805</f>
        <v>0</v>
      </c>
      <c r="AK805" s="122" t="str">
        <f t="shared" si="409"/>
        <v xml:space="preserve"> </v>
      </c>
      <c r="AM805" s="117"/>
      <c r="AN805" s="117"/>
      <c r="AP805" s="259"/>
      <c r="AR805" s="26"/>
      <c r="AS805" s="26">
        <v>0</v>
      </c>
      <c r="AU805" s="26"/>
      <c r="AV805" s="244"/>
      <c r="AW805" s="16">
        <f>AU805+AV805</f>
        <v>0</v>
      </c>
      <c r="AX805" s="122" t="str">
        <f t="shared" si="410"/>
        <v xml:space="preserve"> </v>
      </c>
      <c r="AZ805" s="117"/>
      <c r="BA805" s="117"/>
      <c r="BC805" s="259"/>
      <c r="BE805" s="26"/>
      <c r="BF805" s="26"/>
      <c r="BH805" s="26"/>
      <c r="BI805" s="244"/>
      <c r="BJ805" s="16">
        <f>BH805+BI805</f>
        <v>0</v>
      </c>
      <c r="BK805" s="122" t="str">
        <f t="shared" si="411"/>
        <v xml:space="preserve"> </v>
      </c>
      <c r="BM805" s="117"/>
      <c r="BN805" s="117">
        <v>200</v>
      </c>
      <c r="BP805" s="266" t="s">
        <v>1222</v>
      </c>
      <c r="BR805" s="117">
        <v>200</v>
      </c>
      <c r="BS805" s="26">
        <v>0</v>
      </c>
      <c r="BU805" s="26">
        <v>200</v>
      </c>
      <c r="BV805" s="244">
        <v>250</v>
      </c>
      <c r="BW805" s="576">
        <f>BU805+BV805</f>
        <v>450</v>
      </c>
      <c r="BX805" s="577">
        <f t="shared" si="412"/>
        <v>1.25</v>
      </c>
      <c r="BZ805" s="166">
        <v>450</v>
      </c>
      <c r="CA805" s="166">
        <v>450</v>
      </c>
      <c r="CC805" s="755" t="s">
        <v>1372</v>
      </c>
      <c r="CE805" s="166">
        <v>450</v>
      </c>
      <c r="CF805" s="166"/>
      <c r="CO805" s="16"/>
    </row>
    <row r="806" spans="1:93" s="19" customFormat="1" x14ac:dyDescent="0.3">
      <c r="A806" s="27"/>
      <c r="B806" s="8"/>
      <c r="C806" s="42"/>
      <c r="D806" s="42"/>
      <c r="E806" s="54"/>
      <c r="F806" s="8"/>
      <c r="G806" s="56" t="s">
        <v>1214</v>
      </c>
      <c r="H806" s="28">
        <f>SUM(H801:H805)</f>
        <v>0</v>
      </c>
      <c r="I806" s="28">
        <f>SUM(I801:I805)</f>
        <v>0</v>
      </c>
      <c r="J806" s="28">
        <f>SUM(J801:J805)</f>
        <v>0</v>
      </c>
      <c r="K806" s="123" t="str">
        <f t="shared" si="407"/>
        <v xml:space="preserve"> </v>
      </c>
      <c r="M806" s="28">
        <f>SUM(M801:M805)</f>
        <v>0</v>
      </c>
      <c r="N806" s="28">
        <f>SUM(N801:N805)</f>
        <v>0</v>
      </c>
      <c r="P806" s="139"/>
      <c r="R806" s="28">
        <f>SUM(R801:R805)</f>
        <v>0</v>
      </c>
      <c r="S806" s="28">
        <f>SUM(S801:S805)</f>
        <v>0</v>
      </c>
      <c r="U806" s="28">
        <f>SUM(U801:U805)</f>
        <v>0</v>
      </c>
      <c r="V806" s="28">
        <f>SUM(V801:V805)</f>
        <v>0</v>
      </c>
      <c r="W806" s="28">
        <f>SUM(W801:W805)</f>
        <v>0</v>
      </c>
      <c r="X806" s="123" t="str">
        <f t="shared" si="408"/>
        <v xml:space="preserve"> </v>
      </c>
      <c r="Z806" s="28">
        <f>SUM(Z801:Z805)</f>
        <v>0</v>
      </c>
      <c r="AA806" s="28">
        <f>SUM(AA801:AA805)</f>
        <v>0</v>
      </c>
      <c r="AC806" s="139"/>
      <c r="AE806" s="28">
        <f>SUM(AE801:AE805)</f>
        <v>0</v>
      </c>
      <c r="AF806" s="28">
        <f>SUM(AF801:AF805)</f>
        <v>0</v>
      </c>
      <c r="AH806" s="28">
        <f>SUM(AH801:AH805)</f>
        <v>0</v>
      </c>
      <c r="AI806" s="28">
        <f>SUM(AI801:AI805)</f>
        <v>0</v>
      </c>
      <c r="AJ806" s="28">
        <f>SUM(AJ801:AJ805)</f>
        <v>0</v>
      </c>
      <c r="AK806" s="123" t="str">
        <f t="shared" si="409"/>
        <v xml:space="preserve"> </v>
      </c>
      <c r="AM806" s="28">
        <f>SUM(AM801:AM805)</f>
        <v>0</v>
      </c>
      <c r="AN806" s="28">
        <f>SUM(AN801:AN805)</f>
        <v>0</v>
      </c>
      <c r="AP806" s="139"/>
      <c r="AR806" s="28">
        <f>SUM(AR801:AR805)</f>
        <v>0</v>
      </c>
      <c r="AS806" s="28">
        <f>SUM(AS801:AS805)</f>
        <v>0</v>
      </c>
      <c r="AU806" s="28">
        <f>SUM(AU801:AU805)</f>
        <v>0</v>
      </c>
      <c r="AV806" s="28">
        <f>SUM(AV801:AV805)</f>
        <v>0</v>
      </c>
      <c r="AW806" s="28">
        <f>SUM(AW801:AW805)</f>
        <v>0</v>
      </c>
      <c r="AX806" s="123" t="str">
        <f t="shared" si="410"/>
        <v xml:space="preserve"> </v>
      </c>
      <c r="AZ806" s="28">
        <f>SUM(AZ801:AZ805)</f>
        <v>0</v>
      </c>
      <c r="BA806" s="28">
        <f>SUM(BA801:BA805)</f>
        <v>0</v>
      </c>
      <c r="BC806" s="139"/>
      <c r="BE806" s="28">
        <f>SUM(BE801:BE805)</f>
        <v>0</v>
      </c>
      <c r="BF806" s="28">
        <f>SUM(BF801:BF805)</f>
        <v>0</v>
      </c>
      <c r="BG806" s="9"/>
      <c r="BH806" s="28">
        <f>SUM(BH801:BH805)</f>
        <v>0</v>
      </c>
      <c r="BI806" s="28">
        <f>SUM(BI801:BI805)</f>
        <v>0</v>
      </c>
      <c r="BJ806" s="28">
        <f>SUM(BJ801:BJ805)</f>
        <v>0</v>
      </c>
      <c r="BK806" s="123" t="str">
        <f t="shared" si="411"/>
        <v xml:space="preserve"> </v>
      </c>
      <c r="BM806" s="28">
        <f>SUM(BM801:BM805)</f>
        <v>0</v>
      </c>
      <c r="BN806" s="28">
        <f>SUM(BN801:BN805)</f>
        <v>2000</v>
      </c>
      <c r="BP806" s="139"/>
      <c r="BR806" s="28">
        <f>SUM(BR801:BR805)</f>
        <v>2000</v>
      </c>
      <c r="BS806" s="28">
        <f>SUM(BS801:BS805)</f>
        <v>48.7</v>
      </c>
      <c r="BT806" s="9"/>
      <c r="BU806" s="28">
        <f>SUM(BU801:BU805)</f>
        <v>2000</v>
      </c>
      <c r="BV806" s="532">
        <f>SUM(BV801:BV805)</f>
        <v>0</v>
      </c>
      <c r="BW806" s="591">
        <f>SUM(BW801:BW805)</f>
        <v>2000</v>
      </c>
      <c r="BX806" s="579">
        <f t="shared" si="412"/>
        <v>0</v>
      </c>
      <c r="BY806" s="580"/>
      <c r="BZ806" s="591">
        <f>SUM(BZ801:BZ805)</f>
        <v>2000</v>
      </c>
      <c r="CA806" s="591">
        <f>SUM(CA801:CA805)</f>
        <v>2000</v>
      </c>
      <c r="CB806" s="580"/>
      <c r="CC806" s="769"/>
      <c r="CD806" s="580"/>
      <c r="CE806" s="591">
        <f>SUM(CE801:CE805)</f>
        <v>2000</v>
      </c>
      <c r="CF806" s="591">
        <f>SUM(CF801:CF805)</f>
        <v>0</v>
      </c>
      <c r="CG806" s="9"/>
      <c r="CH806" s="815"/>
      <c r="CI806" s="815"/>
      <c r="CJ806" s="887"/>
      <c r="CO806" s="16"/>
    </row>
    <row r="807" spans="1:93" ht="9.9" customHeight="1" x14ac:dyDescent="0.3">
      <c r="AS807" s="16"/>
      <c r="CO807" s="16"/>
    </row>
    <row r="808" spans="1:93" s="1" customFormat="1" x14ac:dyDescent="0.3">
      <c r="A808" s="20"/>
      <c r="B808" s="5"/>
      <c r="C808" s="39"/>
      <c r="D808" s="39"/>
      <c r="E808" s="51"/>
      <c r="F808" s="5"/>
      <c r="G808" s="21" t="s">
        <v>1215</v>
      </c>
      <c r="H808" s="22">
        <f>H799+H806</f>
        <v>0</v>
      </c>
      <c r="I808" s="22">
        <f>I799+I806</f>
        <v>0</v>
      </c>
      <c r="J808" s="22">
        <f>J799+J806</f>
        <v>0</v>
      </c>
      <c r="K808" s="124" t="str">
        <f>IF(H808=0," ",(J808-H808)/H808)</f>
        <v xml:space="preserve"> </v>
      </c>
      <c r="M808" s="22">
        <f>M799+M806</f>
        <v>0</v>
      </c>
      <c r="N808" s="22">
        <f>N799+N806</f>
        <v>0</v>
      </c>
      <c r="P808" s="136">
        <f>P799+P806</f>
        <v>0</v>
      </c>
      <c r="R808" s="22">
        <f>R799+R806</f>
        <v>0</v>
      </c>
      <c r="S808" s="22">
        <f>S799+S806</f>
        <v>0</v>
      </c>
      <c r="U808" s="22">
        <f>U799+U806</f>
        <v>0</v>
      </c>
      <c r="V808" s="22">
        <f>V799+V806</f>
        <v>0</v>
      </c>
      <c r="W808" s="22">
        <f>W799+W806</f>
        <v>0</v>
      </c>
      <c r="X808" s="124" t="str">
        <f>IF(U808=0," ",(W808-U808)/U808)</f>
        <v xml:space="preserve"> </v>
      </c>
      <c r="Z808" s="22">
        <f>Z799+Z806</f>
        <v>0</v>
      </c>
      <c r="AA808" s="22">
        <f>AA799+AA806</f>
        <v>0</v>
      </c>
      <c r="AC808" s="136"/>
      <c r="AE808" s="22">
        <f>AE799+AE806</f>
        <v>0</v>
      </c>
      <c r="AF808" s="199">
        <f>AF799+AF806</f>
        <v>0</v>
      </c>
      <c r="AH808" s="22">
        <v>1850</v>
      </c>
      <c r="AI808" s="22">
        <f>AI799+AI806</f>
        <v>0</v>
      </c>
      <c r="AJ808" s="22">
        <f>AJ799+AJ806</f>
        <v>0</v>
      </c>
      <c r="AK808" s="124">
        <f>IF(AH808=0," ",(AJ808-AH808)/AH808)</f>
        <v>-1</v>
      </c>
      <c r="AM808" s="22">
        <f>AM799+AM806</f>
        <v>0</v>
      </c>
      <c r="AN808" s="22">
        <f>AN799+AN806</f>
        <v>0</v>
      </c>
      <c r="AP808" s="136"/>
      <c r="AR808" s="22">
        <f>AR799+AR806</f>
        <v>0</v>
      </c>
      <c r="AS808" s="22">
        <f>AS799+AS806</f>
        <v>0</v>
      </c>
      <c r="AU808" s="22">
        <f>AU799+AU806</f>
        <v>0</v>
      </c>
      <c r="AV808" s="22">
        <f>AV799+AV806</f>
        <v>0</v>
      </c>
      <c r="AW808" s="22">
        <f>AW799+AW806</f>
        <v>0</v>
      </c>
      <c r="AX808" s="124" t="str">
        <f>IF(AU808=0," ",(AW808-AU808)/AU808)</f>
        <v xml:space="preserve"> </v>
      </c>
      <c r="AZ808" s="22">
        <f>AZ799+AZ806</f>
        <v>0</v>
      </c>
      <c r="BA808" s="22">
        <f>BA799+BA806</f>
        <v>0</v>
      </c>
      <c r="BC808" s="136"/>
      <c r="BE808" s="22">
        <f>BE799+BE806</f>
        <v>0</v>
      </c>
      <c r="BF808" s="22">
        <f>BF799+BF806</f>
        <v>0</v>
      </c>
      <c r="BH808" s="22">
        <f>BH799+BH806</f>
        <v>0</v>
      </c>
      <c r="BI808" s="22">
        <f>BI799+BI806</f>
        <v>0</v>
      </c>
      <c r="BJ808" s="22">
        <f>BJ799+BJ806</f>
        <v>0</v>
      </c>
      <c r="BK808" s="124" t="str">
        <f>IF(BH808=0," ",(BJ808-BH808)/BH808)</f>
        <v xml:space="preserve"> </v>
      </c>
      <c r="BM808" s="22">
        <f>BM799+BM806</f>
        <v>0</v>
      </c>
      <c r="BN808" s="22">
        <f>BN799+BN806</f>
        <v>33103</v>
      </c>
      <c r="BP808" s="136"/>
      <c r="BR808" s="22">
        <f>BR799+BR806</f>
        <v>33103</v>
      </c>
      <c r="BS808" s="22">
        <f>BS799+BS806</f>
        <v>6450.37</v>
      </c>
      <c r="BU808" s="22">
        <f>BU799+BU806</f>
        <v>33103</v>
      </c>
      <c r="BV808" s="531">
        <f>BV799+BV806</f>
        <v>605</v>
      </c>
      <c r="BW808" s="581">
        <f>BW799+BW806</f>
        <v>33708</v>
      </c>
      <c r="BX808" s="582">
        <f>IF(BU808=0," ",(BW808-BU808)/BU808)</f>
        <v>1.827628915808235E-2</v>
      </c>
      <c r="BY808" s="573"/>
      <c r="BZ808" s="581">
        <f>BZ799+BZ806</f>
        <v>33708</v>
      </c>
      <c r="CA808" s="581">
        <f>CA799+CA806</f>
        <v>33708</v>
      </c>
      <c r="CB808" s="573"/>
      <c r="CC808" s="764"/>
      <c r="CD808" s="573"/>
      <c r="CE808" s="581">
        <f>CE799+CE806</f>
        <v>33708</v>
      </c>
      <c r="CF808" s="581">
        <f>CF799+CF806</f>
        <v>0</v>
      </c>
      <c r="CH808" s="812"/>
      <c r="CI808" s="812"/>
      <c r="CJ808" s="887"/>
      <c r="CO808" s="16"/>
    </row>
    <row r="809" spans="1:93" ht="20.100000000000001" customHeight="1" x14ac:dyDescent="0.3">
      <c r="AS809" s="16"/>
      <c r="CO809" s="16"/>
    </row>
    <row r="810" spans="1:93" s="1" customFormat="1" ht="15.6" x14ac:dyDescent="0.3">
      <c r="A810" s="14" t="s">
        <v>278</v>
      </c>
      <c r="B810" s="2"/>
      <c r="C810" s="36"/>
      <c r="D810" s="36"/>
      <c r="E810" s="48"/>
      <c r="F810" s="2"/>
      <c r="G810" s="2"/>
      <c r="H810" s="15"/>
      <c r="I810" s="15"/>
      <c r="J810" s="15"/>
      <c r="K810" s="121"/>
      <c r="M810" s="15"/>
      <c r="N810" s="15"/>
      <c r="P810" s="133"/>
      <c r="R810" s="15"/>
      <c r="S810" s="15"/>
      <c r="U810" s="15"/>
      <c r="V810" s="15"/>
      <c r="W810" s="15"/>
      <c r="X810" s="121"/>
      <c r="Z810" s="15"/>
      <c r="AA810" s="15"/>
      <c r="AC810" s="133"/>
      <c r="AE810" s="15"/>
      <c r="AF810" s="196"/>
      <c r="AH810" s="15"/>
      <c r="AI810" s="15"/>
      <c r="AJ810" s="15"/>
      <c r="AK810" s="121"/>
      <c r="AM810" s="15"/>
      <c r="AN810" s="15"/>
      <c r="AP810" s="133"/>
      <c r="AR810" s="15"/>
      <c r="AS810" s="15"/>
      <c r="AU810" s="15"/>
      <c r="AV810" s="15"/>
      <c r="AW810" s="15"/>
      <c r="AX810" s="121"/>
      <c r="AZ810" s="15"/>
      <c r="BA810" s="15"/>
      <c r="BC810" s="133"/>
      <c r="BE810" s="15"/>
      <c r="BF810" s="15"/>
      <c r="BH810" s="15"/>
      <c r="BI810" s="15"/>
      <c r="BJ810" s="15"/>
      <c r="BK810" s="121"/>
      <c r="BM810" s="15"/>
      <c r="BN810" s="15"/>
      <c r="BP810" s="234"/>
      <c r="BR810" s="15"/>
      <c r="BS810" s="15"/>
      <c r="BU810" s="15"/>
      <c r="BV810" s="529"/>
      <c r="BW810" s="574"/>
      <c r="BX810" s="575"/>
      <c r="BY810" s="573"/>
      <c r="BZ810" s="574"/>
      <c r="CA810" s="574"/>
      <c r="CB810" s="573"/>
      <c r="CC810" s="761"/>
      <c r="CD810" s="573"/>
      <c r="CE810" s="574"/>
      <c r="CF810" s="574"/>
      <c r="CH810" s="812"/>
      <c r="CI810" s="812"/>
      <c r="CJ810" s="887"/>
      <c r="CO810" s="16"/>
    </row>
    <row r="811" spans="1:93" x14ac:dyDescent="0.3">
      <c r="A811" s="11">
        <v>691</v>
      </c>
      <c r="B811" s="3" t="s">
        <v>2</v>
      </c>
      <c r="C811" s="37">
        <v>69105</v>
      </c>
      <c r="D811" s="37">
        <v>53430</v>
      </c>
      <c r="E811" s="49" t="s">
        <v>118</v>
      </c>
      <c r="F811" s="3" t="s">
        <v>2</v>
      </c>
      <c r="G811" s="3" t="s">
        <v>946</v>
      </c>
      <c r="H811" s="26">
        <v>150</v>
      </c>
      <c r="I811" s="244"/>
      <c r="J811" s="16">
        <f>H811+I811</f>
        <v>150</v>
      </c>
      <c r="K811" s="122">
        <f>IF(H811=0," ",(J811-H811)/H811)</f>
        <v>0</v>
      </c>
      <c r="M811" s="117">
        <v>150</v>
      </c>
      <c r="N811" s="117">
        <v>150</v>
      </c>
      <c r="P811" s="259" t="s">
        <v>564</v>
      </c>
      <c r="R811" s="26">
        <v>150</v>
      </c>
      <c r="S811" s="26">
        <v>0</v>
      </c>
      <c r="U811" s="26">
        <v>150</v>
      </c>
      <c r="V811" s="244">
        <v>0</v>
      </c>
      <c r="W811" s="16">
        <f>U811+V811</f>
        <v>150</v>
      </c>
      <c r="X811" s="122">
        <f>IF(U811=0," ",(W811-U811)/U811)</f>
        <v>0</v>
      </c>
      <c r="Z811" s="117">
        <v>150</v>
      </c>
      <c r="AA811" s="117">
        <v>150</v>
      </c>
      <c r="AC811" s="259"/>
      <c r="AE811" s="26">
        <v>150</v>
      </c>
      <c r="AF811" s="200">
        <v>0</v>
      </c>
      <c r="AH811" s="26">
        <v>150</v>
      </c>
      <c r="AI811" s="244"/>
      <c r="AJ811" s="16">
        <f>AH811+AI811</f>
        <v>150</v>
      </c>
      <c r="AK811" s="122">
        <f>IF(AH811=0," ",(AJ811-AH811)/AH811)</f>
        <v>0</v>
      </c>
      <c r="AM811" s="117">
        <v>150</v>
      </c>
      <c r="AN811" s="117">
        <v>150</v>
      </c>
      <c r="AP811" s="259"/>
      <c r="AR811" s="26">
        <v>150</v>
      </c>
      <c r="AS811" s="26"/>
      <c r="AU811" s="26">
        <f>AR811</f>
        <v>150</v>
      </c>
      <c r="AV811" s="244"/>
      <c r="AW811" s="16">
        <f>AU811+AV811</f>
        <v>150</v>
      </c>
      <c r="AX811" s="122">
        <f>IF(AU811=0," ",(AW811-AU811)/AU811)</f>
        <v>0</v>
      </c>
      <c r="AZ811" s="117"/>
      <c r="BA811" s="117"/>
      <c r="BC811" s="259"/>
      <c r="BE811" s="26"/>
      <c r="BF811" s="26"/>
      <c r="BH811" s="26"/>
      <c r="BI811" s="244"/>
      <c r="BJ811" s="16">
        <f>BH811+BI811</f>
        <v>0</v>
      </c>
      <c r="BK811" s="122" t="str">
        <f>IF(BH811=0," ",(BJ811-BH811)/BH811)</f>
        <v xml:space="preserve"> </v>
      </c>
      <c r="BM811" s="117">
        <v>0</v>
      </c>
      <c r="BN811" s="117">
        <v>0</v>
      </c>
      <c r="BP811" s="259"/>
      <c r="BR811" s="117">
        <v>0</v>
      </c>
      <c r="BS811" s="26"/>
      <c r="BU811" s="26">
        <v>0</v>
      </c>
      <c r="BV811" s="244"/>
      <c r="BW811" s="576">
        <f>BU811+BV811</f>
        <v>0</v>
      </c>
      <c r="BX811" s="577" t="str">
        <f>IF(BU811=0," ",(BW811-BU811)/BU811)</f>
        <v xml:space="preserve"> </v>
      </c>
      <c r="BZ811" s="166">
        <v>0</v>
      </c>
      <c r="CA811" s="166">
        <v>0</v>
      </c>
      <c r="CC811" s="753"/>
      <c r="CE811" s="166">
        <v>0</v>
      </c>
      <c r="CF811" s="166"/>
      <c r="CO811" s="16"/>
    </row>
    <row r="812" spans="1:93" x14ac:dyDescent="0.3">
      <c r="A812" s="11">
        <v>691</v>
      </c>
      <c r="B812" s="3" t="s">
        <v>2</v>
      </c>
      <c r="C812" s="37">
        <v>69105</v>
      </c>
      <c r="D812" s="37">
        <v>57800</v>
      </c>
      <c r="E812" s="49" t="s">
        <v>118</v>
      </c>
      <c r="F812" s="3" t="s">
        <v>2</v>
      </c>
      <c r="G812" s="3" t="s">
        <v>1078</v>
      </c>
      <c r="H812" s="26">
        <v>300</v>
      </c>
      <c r="I812" s="244"/>
      <c r="J812" s="16">
        <f>H812+I812</f>
        <v>300</v>
      </c>
      <c r="K812" s="122">
        <f>IF(H812=0," ",(J812-H812)/H812)</f>
        <v>0</v>
      </c>
      <c r="M812" s="117">
        <v>300</v>
      </c>
      <c r="N812" s="117">
        <v>300</v>
      </c>
      <c r="P812" s="259"/>
      <c r="R812" s="26">
        <v>300</v>
      </c>
      <c r="S812" s="26">
        <v>0</v>
      </c>
      <c r="U812" s="26">
        <v>300</v>
      </c>
      <c r="V812" s="244">
        <v>0</v>
      </c>
      <c r="W812" s="16">
        <f>U812+V812</f>
        <v>300</v>
      </c>
      <c r="X812" s="122">
        <f>IF(U812=0," ",(W812-U812)/U812)</f>
        <v>0</v>
      </c>
      <c r="Z812" s="117">
        <v>300</v>
      </c>
      <c r="AA812" s="117">
        <v>300</v>
      </c>
      <c r="AC812" s="259"/>
      <c r="AE812" s="26">
        <v>300</v>
      </c>
      <c r="AF812" s="200">
        <v>0</v>
      </c>
      <c r="AH812" s="26">
        <v>300</v>
      </c>
      <c r="AI812" s="244"/>
      <c r="AJ812" s="16">
        <f>AH812+AI812</f>
        <v>300</v>
      </c>
      <c r="AK812" s="122">
        <f>IF(AH812=0," ",(AJ812-AH812)/AH812)</f>
        <v>0</v>
      </c>
      <c r="AM812" s="117">
        <v>300</v>
      </c>
      <c r="AN812" s="117">
        <v>300</v>
      </c>
      <c r="AP812" s="259"/>
      <c r="AR812" s="26">
        <v>300</v>
      </c>
      <c r="AS812" s="26">
        <v>0</v>
      </c>
      <c r="AU812" s="26">
        <f>AR812</f>
        <v>300</v>
      </c>
      <c r="AV812" s="244"/>
      <c r="AW812" s="16">
        <f>AU812+AV812</f>
        <v>300</v>
      </c>
      <c r="AX812" s="122">
        <f>IF(AU812=0," ",(AW812-AU812)/AU812)</f>
        <v>0</v>
      </c>
      <c r="AZ812" s="117">
        <v>400</v>
      </c>
      <c r="BA812" s="117">
        <v>400</v>
      </c>
      <c r="BC812" s="259"/>
      <c r="BE812" s="26">
        <v>400</v>
      </c>
      <c r="BF812" s="26">
        <v>350</v>
      </c>
      <c r="BH812" s="26">
        <v>400</v>
      </c>
      <c r="BI812" s="244"/>
      <c r="BJ812" s="16">
        <f>BH812+BI812</f>
        <v>400</v>
      </c>
      <c r="BK812" s="122">
        <f>IF(BH812=0," ",(BJ812-BH812)/BH812)</f>
        <v>0</v>
      </c>
      <c r="BM812" s="117">
        <v>400</v>
      </c>
      <c r="BN812" s="117">
        <v>400</v>
      </c>
      <c r="BP812" s="259"/>
      <c r="BR812" s="117">
        <v>400</v>
      </c>
      <c r="BS812" s="26"/>
      <c r="BU812" s="26">
        <v>400</v>
      </c>
      <c r="BV812" s="244">
        <v>-100</v>
      </c>
      <c r="BW812" s="576">
        <f>BU812+BV812</f>
        <v>300</v>
      </c>
      <c r="BX812" s="577">
        <f>IF(BU812=0," ",(BW812-BU812)/BU812)</f>
        <v>-0.25</v>
      </c>
      <c r="BZ812" s="166">
        <v>300</v>
      </c>
      <c r="CA812" s="166">
        <v>300</v>
      </c>
      <c r="CC812" s="755" t="s">
        <v>1630</v>
      </c>
      <c r="CE812" s="166">
        <v>300</v>
      </c>
      <c r="CF812" s="166"/>
      <c r="CO812" s="16"/>
    </row>
    <row r="813" spans="1:93" s="19" customFormat="1" x14ac:dyDescent="0.3">
      <c r="A813" s="27"/>
      <c r="B813" s="8"/>
      <c r="C813" s="42"/>
      <c r="D813" s="42"/>
      <c r="E813" s="54"/>
      <c r="F813" s="8"/>
      <c r="G813" s="57" t="s">
        <v>279</v>
      </c>
      <c r="H813" s="28">
        <f>SUM(H811:H812)</f>
        <v>450</v>
      </c>
      <c r="I813" s="28">
        <f>SUM(I811:I812)</f>
        <v>0</v>
      </c>
      <c r="J813" s="28">
        <f>SUM(J811:J812)</f>
        <v>450</v>
      </c>
      <c r="K813" s="123">
        <f>IF(H813=0," ",(J813-H813)/H813)</f>
        <v>0</v>
      </c>
      <c r="M813" s="28">
        <f>SUM(M811:M812)</f>
        <v>450</v>
      </c>
      <c r="N813" s="28">
        <f>SUM(N811:N812)</f>
        <v>450</v>
      </c>
      <c r="P813" s="139">
        <f>SUM(P811:P812)</f>
        <v>0</v>
      </c>
      <c r="R813" s="28">
        <f>SUM(R811:R812)</f>
        <v>450</v>
      </c>
      <c r="S813" s="28">
        <f>SUM(S811:S812)</f>
        <v>0</v>
      </c>
      <c r="U813" s="28">
        <f>SUM(U811:U812)</f>
        <v>450</v>
      </c>
      <c r="V813" s="28">
        <f>SUM(V811:V812)</f>
        <v>0</v>
      </c>
      <c r="W813" s="28">
        <f>SUM(W811:W812)</f>
        <v>450</v>
      </c>
      <c r="X813" s="123">
        <f>IF(U813=0," ",(W813-U813)/U813)</f>
        <v>0</v>
      </c>
      <c r="Z813" s="28">
        <f>SUM(Z811:Z812)</f>
        <v>450</v>
      </c>
      <c r="AA813" s="28">
        <f>SUM(AA811:AA812)</f>
        <v>450</v>
      </c>
      <c r="AC813" s="139"/>
      <c r="AE813" s="28">
        <f>SUM(AE811:AE812)</f>
        <v>450</v>
      </c>
      <c r="AF813" s="201">
        <f>SUM(AF811:AF812)</f>
        <v>0</v>
      </c>
      <c r="AH813" s="28">
        <v>450</v>
      </c>
      <c r="AI813" s="28">
        <f>SUM(AI811:AI812)</f>
        <v>0</v>
      </c>
      <c r="AJ813" s="28">
        <f>SUM(AJ811:AJ812)</f>
        <v>450</v>
      </c>
      <c r="AK813" s="123">
        <f>IF(AH813=0," ",(AJ813-AH813)/AH813)</f>
        <v>0</v>
      </c>
      <c r="AM813" s="28">
        <f>SUM(AM811:AM812)</f>
        <v>450</v>
      </c>
      <c r="AN813" s="28">
        <f>SUM(AN811:AN812)</f>
        <v>450</v>
      </c>
      <c r="AP813" s="139"/>
      <c r="AR813" s="28">
        <f>SUM(AR811:AR812)</f>
        <v>450</v>
      </c>
      <c r="AS813" s="28">
        <f>SUM(AS811:AS812)</f>
        <v>0</v>
      </c>
      <c r="AU813" s="28">
        <f>SUM(AU811:AU812)</f>
        <v>450</v>
      </c>
      <c r="AV813" s="28">
        <f>SUM(AV811:AV812)</f>
        <v>0</v>
      </c>
      <c r="AW813" s="28">
        <f>SUM(AW811:AW812)</f>
        <v>450</v>
      </c>
      <c r="AX813" s="123">
        <f>IF(AU813=0," ",(AW813-AU813)/AU813)</f>
        <v>0</v>
      </c>
      <c r="AZ813" s="28">
        <f>SUM(AZ811:AZ812)</f>
        <v>400</v>
      </c>
      <c r="BA813" s="28">
        <f>SUM(BA811:BA812)</f>
        <v>400</v>
      </c>
      <c r="BC813" s="139"/>
      <c r="BE813" s="28">
        <f>SUM(BE811:BE812)</f>
        <v>400</v>
      </c>
      <c r="BF813" s="28">
        <f>SUM(BF811:BF812)</f>
        <v>350</v>
      </c>
      <c r="BG813" s="9"/>
      <c r="BH813" s="28">
        <f>SUM(BH811:BH812)</f>
        <v>400</v>
      </c>
      <c r="BI813" s="28">
        <f>SUM(BI811:BI812)</f>
        <v>0</v>
      </c>
      <c r="BJ813" s="28">
        <f>SUM(BJ811:BJ812)</f>
        <v>400</v>
      </c>
      <c r="BK813" s="123">
        <f>IF(BH813=0," ",(BJ813-BH813)/BH813)</f>
        <v>0</v>
      </c>
      <c r="BM813" s="28">
        <f>SUM(BM811:BM812)</f>
        <v>400</v>
      </c>
      <c r="BN813" s="28">
        <f>SUM(BN811:BN812)</f>
        <v>400</v>
      </c>
      <c r="BP813" s="139"/>
      <c r="BR813" s="28">
        <f>SUM(BR811:BR812)</f>
        <v>400</v>
      </c>
      <c r="BS813" s="28">
        <f>SUM(BS811:BS812)</f>
        <v>0</v>
      </c>
      <c r="BT813" s="9"/>
      <c r="BU813" s="28">
        <f>SUM(BU811:BU812)</f>
        <v>400</v>
      </c>
      <c r="BV813" s="532">
        <f>SUM(BV811:BV812)</f>
        <v>-100</v>
      </c>
      <c r="BW813" s="591">
        <f>SUM(BW811:BW812)</f>
        <v>300</v>
      </c>
      <c r="BX813" s="579">
        <f>IF(BU813=0," ",(BW813-BU813)/BU813)</f>
        <v>-0.25</v>
      </c>
      <c r="BY813" s="580"/>
      <c r="BZ813" s="591">
        <f>SUM(BZ811:BZ812)</f>
        <v>300</v>
      </c>
      <c r="CA813" s="591">
        <f>SUM(CA811:CA812)</f>
        <v>300</v>
      </c>
      <c r="CB813" s="580"/>
      <c r="CC813" s="769"/>
      <c r="CD813" s="580"/>
      <c r="CE813" s="591">
        <f>SUM(CE811:CE812)</f>
        <v>300</v>
      </c>
      <c r="CF813" s="591">
        <f>SUM(CF811:CF812)</f>
        <v>0</v>
      </c>
      <c r="CG813" s="9"/>
      <c r="CH813" s="815"/>
      <c r="CI813" s="815"/>
      <c r="CJ813" s="887"/>
      <c r="CO813" s="16"/>
    </row>
    <row r="814" spans="1:93" ht="9.9" customHeight="1" x14ac:dyDescent="0.3">
      <c r="AS814" s="16"/>
      <c r="CO814" s="16"/>
    </row>
    <row r="815" spans="1:93" s="1" customFormat="1" x14ac:dyDescent="0.3">
      <c r="A815" s="20"/>
      <c r="B815" s="5"/>
      <c r="C815" s="39"/>
      <c r="D815" s="39"/>
      <c r="E815" s="51"/>
      <c r="F815" s="5"/>
      <c r="G815" s="21" t="s">
        <v>280</v>
      </c>
      <c r="H815" s="22">
        <f t="shared" ref="H815" si="413">H813</f>
        <v>450</v>
      </c>
      <c r="I815" s="22">
        <f>I813</f>
        <v>0</v>
      </c>
      <c r="J815" s="22">
        <f>J813</f>
        <v>450</v>
      </c>
      <c r="K815" s="124">
        <f>IF(H815=0," ",(J815-H815)/H815)</f>
        <v>0</v>
      </c>
      <c r="M815" s="22">
        <f>M813</f>
        <v>450</v>
      </c>
      <c r="N815" s="22">
        <f>N813</f>
        <v>450</v>
      </c>
      <c r="P815" s="136">
        <f>P813</f>
        <v>0</v>
      </c>
      <c r="R815" s="22">
        <f>R813</f>
        <v>450</v>
      </c>
      <c r="S815" s="22">
        <f>S813</f>
        <v>0</v>
      </c>
      <c r="U815" s="22">
        <f>U813</f>
        <v>450</v>
      </c>
      <c r="V815" s="22">
        <f>V813</f>
        <v>0</v>
      </c>
      <c r="W815" s="22">
        <f>W813</f>
        <v>450</v>
      </c>
      <c r="X815" s="124">
        <f>IF(U815=0," ",(W815-U815)/U815)</f>
        <v>0</v>
      </c>
      <c r="Z815" s="22">
        <f>Z813</f>
        <v>450</v>
      </c>
      <c r="AA815" s="22">
        <f>AA813</f>
        <v>450</v>
      </c>
      <c r="AC815" s="136"/>
      <c r="AE815" s="22">
        <f>AE813</f>
        <v>450</v>
      </c>
      <c r="AF815" s="199">
        <f>AF813</f>
        <v>0</v>
      </c>
      <c r="AH815" s="22">
        <v>450</v>
      </c>
      <c r="AI815" s="22">
        <f>AI813</f>
        <v>0</v>
      </c>
      <c r="AJ815" s="22">
        <f>AJ813</f>
        <v>450</v>
      </c>
      <c r="AK815" s="124">
        <f>IF(AH815=0," ",(AJ815-AH815)/AH815)</f>
        <v>0</v>
      </c>
      <c r="AM815" s="22">
        <f>AM813</f>
        <v>450</v>
      </c>
      <c r="AN815" s="22">
        <f>AN813</f>
        <v>450</v>
      </c>
      <c r="AP815" s="136"/>
      <c r="AR815" s="22">
        <f>AR813</f>
        <v>450</v>
      </c>
      <c r="AS815" s="22">
        <f>AS813</f>
        <v>0</v>
      </c>
      <c r="AU815" s="22">
        <f>AU813</f>
        <v>450</v>
      </c>
      <c r="AV815" s="22">
        <f>AV813</f>
        <v>0</v>
      </c>
      <c r="AW815" s="22">
        <f>AW813</f>
        <v>450</v>
      </c>
      <c r="AX815" s="124">
        <f>IF(AU815=0," ",(AW815-AU815)/AU815)</f>
        <v>0</v>
      </c>
      <c r="AZ815" s="22">
        <f>AZ813</f>
        <v>400</v>
      </c>
      <c r="BA815" s="22">
        <f>BA813</f>
        <v>400</v>
      </c>
      <c r="BC815" s="136"/>
      <c r="BE815" s="22">
        <f>BE813</f>
        <v>400</v>
      </c>
      <c r="BF815" s="22">
        <f>BF813</f>
        <v>350</v>
      </c>
      <c r="BH815" s="22">
        <f>BH813</f>
        <v>400</v>
      </c>
      <c r="BI815" s="22">
        <f>BI813</f>
        <v>0</v>
      </c>
      <c r="BJ815" s="22">
        <f>BJ813</f>
        <v>400</v>
      </c>
      <c r="BK815" s="124">
        <f>IF(BH815=0," ",(BJ815-BH815)/BH815)</f>
        <v>0</v>
      </c>
      <c r="BM815" s="22">
        <f>BM813</f>
        <v>400</v>
      </c>
      <c r="BN815" s="22">
        <f>BN813</f>
        <v>400</v>
      </c>
      <c r="BP815" s="136"/>
      <c r="BR815" s="22">
        <f>BR813</f>
        <v>400</v>
      </c>
      <c r="BS815" s="22">
        <f>BS813</f>
        <v>0</v>
      </c>
      <c r="BU815" s="22">
        <f>BU813</f>
        <v>400</v>
      </c>
      <c r="BV815" s="531">
        <f>BV813</f>
        <v>-100</v>
      </c>
      <c r="BW815" s="581">
        <f>BW813</f>
        <v>300</v>
      </c>
      <c r="BX815" s="582">
        <f>IF(BU815=0," ",(BW815-BU815)/BU815)</f>
        <v>-0.25</v>
      </c>
      <c r="BY815" s="573"/>
      <c r="BZ815" s="581">
        <f>BZ813</f>
        <v>300</v>
      </c>
      <c r="CA815" s="581">
        <f>CA813</f>
        <v>300</v>
      </c>
      <c r="CB815" s="573"/>
      <c r="CC815" s="764"/>
      <c r="CD815" s="573"/>
      <c r="CE815" s="581">
        <f>CE813</f>
        <v>300</v>
      </c>
      <c r="CF815" s="581">
        <f>CF813</f>
        <v>0</v>
      </c>
      <c r="CH815" s="812"/>
      <c r="CI815" s="812"/>
      <c r="CJ815" s="887"/>
      <c r="CO815" s="16"/>
    </row>
    <row r="816" spans="1:93" ht="20.100000000000001" customHeight="1" x14ac:dyDescent="0.3">
      <c r="AS816" s="16"/>
      <c r="CO816" s="16"/>
    </row>
    <row r="817" spans="1:93" s="1" customFormat="1" ht="15.6" x14ac:dyDescent="0.3">
      <c r="A817" s="14" t="s">
        <v>365</v>
      </c>
      <c r="B817" s="2"/>
      <c r="C817" s="36"/>
      <c r="D817" s="36"/>
      <c r="E817" s="48"/>
      <c r="F817" s="2"/>
      <c r="G817" s="2"/>
      <c r="H817" s="15"/>
      <c r="I817" s="15"/>
      <c r="J817" s="15"/>
      <c r="K817" s="121"/>
      <c r="M817" s="15"/>
      <c r="N817" s="15"/>
      <c r="P817" s="133"/>
      <c r="R817" s="15"/>
      <c r="S817" s="15"/>
      <c r="U817" s="15"/>
      <c r="V817" s="15"/>
      <c r="W817" s="15"/>
      <c r="X817" s="121"/>
      <c r="Z817" s="15"/>
      <c r="AA817" s="15"/>
      <c r="AC817" s="133"/>
      <c r="AE817" s="15"/>
      <c r="AF817" s="196"/>
      <c r="AH817" s="15"/>
      <c r="AI817" s="15"/>
      <c r="AJ817" s="15"/>
      <c r="AK817" s="121"/>
      <c r="AM817" s="15"/>
      <c r="AN817" s="15"/>
      <c r="AP817" s="133"/>
      <c r="AR817" s="15"/>
      <c r="AS817" s="15"/>
      <c r="AU817" s="15"/>
      <c r="AV817" s="15"/>
      <c r="AW817" s="15"/>
      <c r="AX817" s="121"/>
      <c r="AZ817" s="15"/>
      <c r="BA817" s="15"/>
      <c r="BC817" s="133"/>
      <c r="BE817" s="15"/>
      <c r="BF817" s="15"/>
      <c r="BH817" s="15"/>
      <c r="BI817" s="15"/>
      <c r="BJ817" s="15"/>
      <c r="BK817" s="121"/>
      <c r="BM817" s="15"/>
      <c r="BN817" s="15"/>
      <c r="BP817" s="234"/>
      <c r="BR817" s="15"/>
      <c r="BS817" s="15"/>
      <c r="BU817" s="15"/>
      <c r="BV817" s="529"/>
      <c r="BW817" s="574"/>
      <c r="BX817" s="575"/>
      <c r="BY817" s="573"/>
      <c r="BZ817" s="574"/>
      <c r="CA817" s="574"/>
      <c r="CB817" s="573"/>
      <c r="CC817" s="761"/>
      <c r="CD817" s="573"/>
      <c r="CE817" s="574"/>
      <c r="CF817" s="574"/>
      <c r="CH817" s="812"/>
      <c r="CI817" s="812"/>
      <c r="CJ817" s="887"/>
      <c r="CO817" s="16"/>
    </row>
    <row r="818" spans="1:93" x14ac:dyDescent="0.3">
      <c r="A818" s="11">
        <v>692</v>
      </c>
      <c r="B818" s="3" t="s">
        <v>2</v>
      </c>
      <c r="C818" s="37">
        <v>69205</v>
      </c>
      <c r="D818" s="37">
        <v>51129</v>
      </c>
      <c r="E818" s="49" t="s">
        <v>11</v>
      </c>
      <c r="F818" s="3" t="s">
        <v>2</v>
      </c>
      <c r="G818" s="3" t="s">
        <v>12</v>
      </c>
      <c r="H818" s="26">
        <v>100</v>
      </c>
      <c r="I818" s="244"/>
      <c r="J818" s="16">
        <f>H818+I818</f>
        <v>100</v>
      </c>
      <c r="K818" s="122">
        <f>IF(H818=0," ",(J818-H818)/H818)</f>
        <v>0</v>
      </c>
      <c r="M818" s="117">
        <v>100</v>
      </c>
      <c r="N818" s="117">
        <v>100</v>
      </c>
      <c r="P818" s="259"/>
      <c r="R818" s="26">
        <v>100</v>
      </c>
      <c r="S818" s="26">
        <v>0</v>
      </c>
      <c r="U818" s="26">
        <v>100</v>
      </c>
      <c r="V818" s="244">
        <v>0</v>
      </c>
      <c r="W818" s="16">
        <f>U818+V818</f>
        <v>100</v>
      </c>
      <c r="X818" s="122">
        <f>IF(U818=0," ",(W818-U818)/U818)</f>
        <v>0</v>
      </c>
      <c r="Z818" s="117">
        <v>100</v>
      </c>
      <c r="AA818" s="117">
        <v>100</v>
      </c>
      <c r="AC818" s="259"/>
      <c r="AE818" s="26">
        <v>100</v>
      </c>
      <c r="AF818" s="200">
        <v>0</v>
      </c>
      <c r="AH818" s="26">
        <v>100</v>
      </c>
      <c r="AI818" s="244"/>
      <c r="AJ818" s="16">
        <f>AH818+AI818</f>
        <v>100</v>
      </c>
      <c r="AK818" s="122">
        <f>IF(AH818=0," ",(AJ818-AH818)/AH818)</f>
        <v>0</v>
      </c>
      <c r="AM818" s="117">
        <v>100</v>
      </c>
      <c r="AN818" s="117">
        <v>100</v>
      </c>
      <c r="AP818" s="259"/>
      <c r="AR818" s="26">
        <v>100</v>
      </c>
      <c r="AS818" s="26">
        <v>0</v>
      </c>
      <c r="AU818" s="26">
        <f>AR818</f>
        <v>100</v>
      </c>
      <c r="AV818" s="244"/>
      <c r="AW818" s="16">
        <f>AU818+AV818</f>
        <v>100</v>
      </c>
      <c r="AX818" s="122">
        <f>IF(AU818=0," ",(AW818-AU818)/AU818)</f>
        <v>0</v>
      </c>
      <c r="AZ818" s="117">
        <v>100</v>
      </c>
      <c r="BA818" s="117">
        <v>100</v>
      </c>
      <c r="BC818" s="259"/>
      <c r="BE818" s="26">
        <v>100</v>
      </c>
      <c r="BF818" s="26">
        <v>0</v>
      </c>
      <c r="BH818" s="26">
        <v>100</v>
      </c>
      <c r="BI818" s="244"/>
      <c r="BJ818" s="16">
        <f>BH818+BI818</f>
        <v>100</v>
      </c>
      <c r="BK818" s="122">
        <f>IF(BH818=0," ",(BJ818-BH818)/BH818)</f>
        <v>0</v>
      </c>
      <c r="BM818" s="117">
        <v>100</v>
      </c>
      <c r="BN818" s="117">
        <v>100</v>
      </c>
      <c r="BP818" s="259"/>
      <c r="BR818" s="117">
        <v>100</v>
      </c>
      <c r="BS818" s="26"/>
      <c r="BU818" s="26">
        <v>100</v>
      </c>
      <c r="BV818" s="244"/>
      <c r="BW818" s="576">
        <f>BU818+BV818</f>
        <v>100</v>
      </c>
      <c r="BX818" s="577">
        <f>IF(BU818=0," ",(BW818-BU818)/BU818)</f>
        <v>0</v>
      </c>
      <c r="BZ818" s="166">
        <v>100</v>
      </c>
      <c r="CA818" s="166">
        <v>100</v>
      </c>
      <c r="CC818" s="753"/>
      <c r="CE818" s="166">
        <v>100</v>
      </c>
      <c r="CF818" s="166"/>
      <c r="CO818" s="16"/>
    </row>
    <row r="819" spans="1:93" s="19" customFormat="1" x14ac:dyDescent="0.3">
      <c r="A819" s="27"/>
      <c r="B819" s="8"/>
      <c r="C819" s="42"/>
      <c r="D819" s="42"/>
      <c r="E819" s="54"/>
      <c r="F819" s="8"/>
      <c r="G819" s="56" t="s">
        <v>363</v>
      </c>
      <c r="H819" s="28">
        <f t="shared" ref="H819" si="414">SUM(H818)</f>
        <v>100</v>
      </c>
      <c r="I819" s="28">
        <f>SUM(I818)</f>
        <v>0</v>
      </c>
      <c r="J819" s="28">
        <f>SUM(J818)</f>
        <v>100</v>
      </c>
      <c r="K819" s="123">
        <f>IF(H819=0," ",(J819-H819)/H819)</f>
        <v>0</v>
      </c>
      <c r="M819" s="28">
        <f>SUM(M818)</f>
        <v>100</v>
      </c>
      <c r="N819" s="28">
        <f>SUM(N818)</f>
        <v>100</v>
      </c>
      <c r="P819" s="139">
        <f>SUM(P818)</f>
        <v>0</v>
      </c>
      <c r="R819" s="28">
        <f>SUM(R818)</f>
        <v>100</v>
      </c>
      <c r="S819" s="28">
        <f>SUM(S818)</f>
        <v>0</v>
      </c>
      <c r="U819" s="28">
        <f>SUM(U818)</f>
        <v>100</v>
      </c>
      <c r="V819" s="28">
        <f>SUM(V818)</f>
        <v>0</v>
      </c>
      <c r="W819" s="28">
        <f>SUM(W818)</f>
        <v>100</v>
      </c>
      <c r="X819" s="123">
        <f>IF(U819=0," ",(W819-U819)/U819)</f>
        <v>0</v>
      </c>
      <c r="Z819" s="28">
        <f>SUM(Z818)</f>
        <v>100</v>
      </c>
      <c r="AA819" s="28">
        <f>SUM(AA818)</f>
        <v>100</v>
      </c>
      <c r="AC819" s="139"/>
      <c r="AE819" s="28">
        <f>SUM(AE818)</f>
        <v>100</v>
      </c>
      <c r="AF819" s="201">
        <f>SUM(AF818)</f>
        <v>0</v>
      </c>
      <c r="AH819" s="28">
        <v>100</v>
      </c>
      <c r="AI819" s="28">
        <f>SUM(AI818)</f>
        <v>0</v>
      </c>
      <c r="AJ819" s="28">
        <f>SUM(AJ818)</f>
        <v>100</v>
      </c>
      <c r="AK819" s="123">
        <f>IF(AH819=0," ",(AJ819-AH819)/AH819)</f>
        <v>0</v>
      </c>
      <c r="AM819" s="28">
        <f>SUM(AM818)</f>
        <v>100</v>
      </c>
      <c r="AN819" s="28">
        <f>SUM(AN818)</f>
        <v>100</v>
      </c>
      <c r="AP819" s="139"/>
      <c r="AR819" s="28">
        <f>SUM(AR818)</f>
        <v>100</v>
      </c>
      <c r="AS819" s="28">
        <f>SUM(AS818)</f>
        <v>0</v>
      </c>
      <c r="AU819" s="28">
        <f>SUM(AU818)</f>
        <v>100</v>
      </c>
      <c r="AV819" s="28">
        <f>SUM(AV818)</f>
        <v>0</v>
      </c>
      <c r="AW819" s="28">
        <f>SUM(AW818)</f>
        <v>100</v>
      </c>
      <c r="AX819" s="123">
        <f>IF(AU819=0," ",(AW819-AU819)/AU819)</f>
        <v>0</v>
      </c>
      <c r="AZ819" s="28">
        <f>SUM(AZ818)</f>
        <v>100</v>
      </c>
      <c r="BA819" s="28">
        <f>SUM(BA818)</f>
        <v>100</v>
      </c>
      <c r="BC819" s="139"/>
      <c r="BE819" s="28">
        <f>SUM(BE818)</f>
        <v>100</v>
      </c>
      <c r="BF819" s="28">
        <f>SUM(BF818)</f>
        <v>0</v>
      </c>
      <c r="BG819" s="9"/>
      <c r="BH819" s="28">
        <f>SUM(BH818)</f>
        <v>100</v>
      </c>
      <c r="BI819" s="28">
        <f>SUM(BI818)</f>
        <v>0</v>
      </c>
      <c r="BJ819" s="28">
        <f>SUM(BJ818)</f>
        <v>100</v>
      </c>
      <c r="BK819" s="123">
        <f>IF(BH819=0," ",(BJ819-BH819)/BH819)</f>
        <v>0</v>
      </c>
      <c r="BM819" s="28">
        <f>SUM(BM818)</f>
        <v>100</v>
      </c>
      <c r="BN819" s="28">
        <f>SUM(BN818)</f>
        <v>100</v>
      </c>
      <c r="BP819" s="139"/>
      <c r="BR819" s="28">
        <f>SUM(BR818)</f>
        <v>100</v>
      </c>
      <c r="BS819" s="28">
        <f>SUM(BS818)</f>
        <v>0</v>
      </c>
      <c r="BT819" s="9"/>
      <c r="BU819" s="28">
        <f>SUM(BU818)</f>
        <v>100</v>
      </c>
      <c r="BV819" s="532">
        <f>SUM(BV818)</f>
        <v>0</v>
      </c>
      <c r="BW819" s="591">
        <f>SUM(BW818)</f>
        <v>100</v>
      </c>
      <c r="BX819" s="579">
        <f>IF(BU819=0," ",(BW819-BU819)/BU819)</f>
        <v>0</v>
      </c>
      <c r="BY819" s="580"/>
      <c r="BZ819" s="591">
        <f>SUM(BZ818)</f>
        <v>100</v>
      </c>
      <c r="CA819" s="591">
        <f>SUM(CA818)</f>
        <v>100</v>
      </c>
      <c r="CB819" s="580"/>
      <c r="CC819" s="769"/>
      <c r="CD819" s="580"/>
      <c r="CE819" s="591">
        <f>SUM(CE818)</f>
        <v>100</v>
      </c>
      <c r="CF819" s="591">
        <f>SUM(CF818)</f>
        <v>0</v>
      </c>
      <c r="CG819" s="9"/>
      <c r="CH819" s="815"/>
      <c r="CI819" s="815"/>
      <c r="CJ819" s="887"/>
      <c r="CO819" s="16"/>
    </row>
    <row r="820" spans="1:93" x14ac:dyDescent="0.3">
      <c r="H820" s="26"/>
      <c r="AS820" s="16"/>
      <c r="CO820" s="16"/>
    </row>
    <row r="821" spans="1:93" x14ac:dyDescent="0.3">
      <c r="A821" s="11">
        <v>692</v>
      </c>
      <c r="B821" s="3" t="s">
        <v>2</v>
      </c>
      <c r="C821" s="37">
        <v>69205</v>
      </c>
      <c r="D821" s="37">
        <v>52780</v>
      </c>
      <c r="E821" s="49" t="s">
        <v>118</v>
      </c>
      <c r="F821" s="3" t="s">
        <v>2</v>
      </c>
      <c r="G821" s="3" t="s">
        <v>947</v>
      </c>
      <c r="H821" s="26">
        <v>500</v>
      </c>
      <c r="I821" s="244">
        <v>-200</v>
      </c>
      <c r="J821" s="16">
        <f t="shared" ref="J821:J826" si="415">H821+I821</f>
        <v>300</v>
      </c>
      <c r="K821" s="122">
        <f t="shared" ref="K821:K826" si="416">IF(H821=0," ",(J821-H821)/H821)</f>
        <v>-0.4</v>
      </c>
      <c r="M821" s="117">
        <v>300</v>
      </c>
      <c r="N821" s="117">
        <v>300</v>
      </c>
      <c r="P821" s="259"/>
      <c r="R821" s="26">
        <v>300</v>
      </c>
      <c r="S821" s="26">
        <v>0</v>
      </c>
      <c r="U821" s="26">
        <v>300</v>
      </c>
      <c r="V821" s="244">
        <v>0</v>
      </c>
      <c r="W821" s="16">
        <f t="shared" ref="W821:W826" si="417">U821+V821</f>
        <v>300</v>
      </c>
      <c r="X821" s="122">
        <f t="shared" ref="X821:X826" si="418">IF(U821=0," ",(W821-U821)/U821)</f>
        <v>0</v>
      </c>
      <c r="Z821" s="117">
        <v>300</v>
      </c>
      <c r="AA821" s="117">
        <v>300</v>
      </c>
      <c r="AC821" s="259"/>
      <c r="AE821" s="26">
        <v>300</v>
      </c>
      <c r="AF821" s="200">
        <v>0</v>
      </c>
      <c r="AH821" s="26">
        <v>300</v>
      </c>
      <c r="AI821" s="244"/>
      <c r="AJ821" s="16">
        <f t="shared" ref="AJ821:AJ826" si="419">AH821+AI821</f>
        <v>300</v>
      </c>
      <c r="AK821" s="122">
        <f t="shared" ref="AK821:AK826" si="420">IF(AH821=0," ",(AJ821-AH821)/AH821)</f>
        <v>0</v>
      </c>
      <c r="AM821" s="117">
        <v>300</v>
      </c>
      <c r="AN821" s="117">
        <v>300</v>
      </c>
      <c r="AP821" s="259"/>
      <c r="AR821" s="26">
        <v>300</v>
      </c>
      <c r="AS821" s="26">
        <v>0</v>
      </c>
      <c r="AU821" s="26">
        <f t="shared" ref="AU821:AU826" si="421">AR821</f>
        <v>300</v>
      </c>
      <c r="AV821" s="244"/>
      <c r="AW821" s="16">
        <f t="shared" ref="AW821:AW826" si="422">AU821+AV821</f>
        <v>300</v>
      </c>
      <c r="AX821" s="122">
        <f t="shared" ref="AX821:AX826" si="423">IF(AU821=0," ",(AW821-AU821)/AU821)</f>
        <v>0</v>
      </c>
      <c r="AZ821" s="117">
        <v>300</v>
      </c>
      <c r="BA821" s="117">
        <v>300</v>
      </c>
      <c r="BC821" s="259"/>
      <c r="BE821" s="26">
        <v>300</v>
      </c>
      <c r="BF821" s="26">
        <v>0</v>
      </c>
      <c r="BH821" s="26">
        <v>300</v>
      </c>
      <c r="BI821" s="244"/>
      <c r="BJ821" s="16">
        <f t="shared" ref="BJ821:BJ826" si="424">BH821+BI821</f>
        <v>300</v>
      </c>
      <c r="BK821" s="122">
        <f t="shared" ref="BK821:BK826" si="425">IF(BH821=0," ",(BJ821-BH821)/BH821)</f>
        <v>0</v>
      </c>
      <c r="BM821" s="117">
        <v>300</v>
      </c>
      <c r="BN821" s="117">
        <v>300</v>
      </c>
      <c r="BP821" s="259"/>
      <c r="BR821" s="117">
        <v>300</v>
      </c>
      <c r="BS821" s="26"/>
      <c r="BU821" s="26">
        <v>300</v>
      </c>
      <c r="BV821" s="244"/>
      <c r="BW821" s="576">
        <f t="shared" ref="BW821:BW826" si="426">BU821+BV821</f>
        <v>300</v>
      </c>
      <c r="BX821" s="577">
        <f t="shared" ref="BX821:BX826" si="427">IF(BU821=0," ",(BW821-BU821)/BU821)</f>
        <v>0</v>
      </c>
      <c r="BZ821" s="166">
        <v>300</v>
      </c>
      <c r="CA821" s="166">
        <v>300</v>
      </c>
      <c r="CC821" s="753"/>
      <c r="CE821" s="166">
        <v>300</v>
      </c>
      <c r="CF821" s="166"/>
      <c r="CO821" s="16"/>
    </row>
    <row r="822" spans="1:93" x14ac:dyDescent="0.3">
      <c r="A822" s="11">
        <v>692</v>
      </c>
      <c r="B822" s="3" t="s">
        <v>2</v>
      </c>
      <c r="C822" s="37">
        <v>69205</v>
      </c>
      <c r="D822" s="37">
        <v>53050</v>
      </c>
      <c r="E822" s="49" t="s">
        <v>118</v>
      </c>
      <c r="F822" s="3" t="s">
        <v>2</v>
      </c>
      <c r="G822" s="3" t="s">
        <v>948</v>
      </c>
      <c r="H822" s="26">
        <v>500</v>
      </c>
      <c r="I822" s="244">
        <v>-200</v>
      </c>
      <c r="J822" s="16">
        <f t="shared" si="415"/>
        <v>300</v>
      </c>
      <c r="K822" s="122">
        <f t="shared" si="416"/>
        <v>-0.4</v>
      </c>
      <c r="M822" s="117">
        <v>300</v>
      </c>
      <c r="N822" s="117">
        <v>300</v>
      </c>
      <c r="P822" s="259"/>
      <c r="R822" s="26">
        <v>300</v>
      </c>
      <c r="S822" s="26">
        <v>0</v>
      </c>
      <c r="U822" s="26">
        <v>300</v>
      </c>
      <c r="V822" s="244">
        <v>0</v>
      </c>
      <c r="W822" s="16">
        <f t="shared" si="417"/>
        <v>300</v>
      </c>
      <c r="X822" s="122">
        <f t="shared" si="418"/>
        <v>0</v>
      </c>
      <c r="Z822" s="117">
        <v>300</v>
      </c>
      <c r="AA822" s="117">
        <v>300</v>
      </c>
      <c r="AC822" s="259"/>
      <c r="AE822" s="26">
        <v>300</v>
      </c>
      <c r="AF822" s="200">
        <v>0</v>
      </c>
      <c r="AH822" s="26">
        <v>300</v>
      </c>
      <c r="AI822" s="244"/>
      <c r="AJ822" s="16">
        <f t="shared" si="419"/>
        <v>300</v>
      </c>
      <c r="AK822" s="122">
        <f t="shared" si="420"/>
        <v>0</v>
      </c>
      <c r="AM822" s="117">
        <v>300</v>
      </c>
      <c r="AN822" s="117">
        <v>300</v>
      </c>
      <c r="AP822" s="259"/>
      <c r="AR822" s="26">
        <v>300</v>
      </c>
      <c r="AS822" s="26">
        <v>0</v>
      </c>
      <c r="AU822" s="26">
        <f t="shared" si="421"/>
        <v>300</v>
      </c>
      <c r="AV822" s="244"/>
      <c r="AW822" s="16">
        <f t="shared" si="422"/>
        <v>300</v>
      </c>
      <c r="AX822" s="122">
        <f t="shared" si="423"/>
        <v>0</v>
      </c>
      <c r="AZ822" s="117">
        <v>300</v>
      </c>
      <c r="BA822" s="117">
        <v>300</v>
      </c>
      <c r="BC822" s="259"/>
      <c r="BE822" s="26">
        <v>300</v>
      </c>
      <c r="BF822" s="26">
        <v>0</v>
      </c>
      <c r="BH822" s="26">
        <v>300</v>
      </c>
      <c r="BI822" s="244"/>
      <c r="BJ822" s="16">
        <f t="shared" si="424"/>
        <v>300</v>
      </c>
      <c r="BK822" s="122">
        <f t="shared" si="425"/>
        <v>0</v>
      </c>
      <c r="BM822" s="117">
        <v>300</v>
      </c>
      <c r="BN822" s="117">
        <v>300</v>
      </c>
      <c r="BP822" s="259"/>
      <c r="BR822" s="117">
        <v>300</v>
      </c>
      <c r="BS822" s="26"/>
      <c r="BU822" s="26">
        <v>300</v>
      </c>
      <c r="BV822" s="244"/>
      <c r="BW822" s="576">
        <f t="shared" si="426"/>
        <v>300</v>
      </c>
      <c r="BX822" s="577">
        <f t="shared" si="427"/>
        <v>0</v>
      </c>
      <c r="BZ822" s="166">
        <v>300</v>
      </c>
      <c r="CA822" s="166">
        <v>300</v>
      </c>
      <c r="CC822" s="753"/>
      <c r="CE822" s="166">
        <v>300</v>
      </c>
      <c r="CF822" s="166"/>
      <c r="CO822" s="16"/>
    </row>
    <row r="823" spans="1:93" x14ac:dyDescent="0.3">
      <c r="A823" s="11">
        <v>692</v>
      </c>
      <c r="B823" s="3" t="s">
        <v>2</v>
      </c>
      <c r="C823" s="37">
        <v>69205</v>
      </c>
      <c r="D823" s="37">
        <v>53430</v>
      </c>
      <c r="E823" s="49" t="s">
        <v>118</v>
      </c>
      <c r="F823" s="3" t="s">
        <v>2</v>
      </c>
      <c r="G823" s="3" t="s">
        <v>949</v>
      </c>
      <c r="H823" s="26">
        <v>200</v>
      </c>
      <c r="I823" s="244"/>
      <c r="J823" s="16">
        <f t="shared" si="415"/>
        <v>200</v>
      </c>
      <c r="K823" s="122">
        <f t="shared" si="416"/>
        <v>0</v>
      </c>
      <c r="M823" s="117">
        <v>200</v>
      </c>
      <c r="N823" s="117">
        <v>200</v>
      </c>
      <c r="P823" s="259"/>
      <c r="R823" s="26">
        <v>200</v>
      </c>
      <c r="S823" s="26">
        <v>0</v>
      </c>
      <c r="U823" s="26">
        <v>200</v>
      </c>
      <c r="V823" s="244">
        <v>0</v>
      </c>
      <c r="W823" s="16">
        <f t="shared" si="417"/>
        <v>200</v>
      </c>
      <c r="X823" s="122">
        <f t="shared" si="418"/>
        <v>0</v>
      </c>
      <c r="Z823" s="117">
        <v>200</v>
      </c>
      <c r="AA823" s="117">
        <v>200</v>
      </c>
      <c r="AC823" s="259"/>
      <c r="AE823" s="26">
        <v>200</v>
      </c>
      <c r="AF823" s="200">
        <v>0</v>
      </c>
      <c r="AH823" s="26">
        <v>200</v>
      </c>
      <c r="AI823" s="244"/>
      <c r="AJ823" s="16">
        <f t="shared" si="419"/>
        <v>200</v>
      </c>
      <c r="AK823" s="122">
        <f t="shared" si="420"/>
        <v>0</v>
      </c>
      <c r="AM823" s="117">
        <v>200</v>
      </c>
      <c r="AN823" s="117">
        <v>200</v>
      </c>
      <c r="AP823" s="259"/>
      <c r="AR823" s="26">
        <v>200</v>
      </c>
      <c r="AS823" s="26">
        <v>0</v>
      </c>
      <c r="AU823" s="26">
        <f t="shared" si="421"/>
        <v>200</v>
      </c>
      <c r="AV823" s="244"/>
      <c r="AW823" s="16">
        <f t="shared" si="422"/>
        <v>200</v>
      </c>
      <c r="AX823" s="122">
        <f t="shared" si="423"/>
        <v>0</v>
      </c>
      <c r="AZ823" s="117">
        <v>200</v>
      </c>
      <c r="BA823" s="117">
        <v>200</v>
      </c>
      <c r="BC823" s="259"/>
      <c r="BE823" s="26">
        <v>200</v>
      </c>
      <c r="BF823" s="26">
        <v>0</v>
      </c>
      <c r="BH823" s="26">
        <v>200</v>
      </c>
      <c r="BI823" s="244"/>
      <c r="BJ823" s="16">
        <f t="shared" si="424"/>
        <v>200</v>
      </c>
      <c r="BK823" s="122">
        <f t="shared" si="425"/>
        <v>0</v>
      </c>
      <c r="BM823" s="117">
        <v>200</v>
      </c>
      <c r="BN823" s="117">
        <v>200</v>
      </c>
      <c r="BP823" s="259"/>
      <c r="BR823" s="117">
        <v>200</v>
      </c>
      <c r="BS823" s="26"/>
      <c r="BU823" s="26">
        <v>200</v>
      </c>
      <c r="BV823" s="244"/>
      <c r="BW823" s="576">
        <f t="shared" si="426"/>
        <v>200</v>
      </c>
      <c r="BX823" s="577">
        <f t="shared" si="427"/>
        <v>0</v>
      </c>
      <c r="BZ823" s="166">
        <v>200</v>
      </c>
      <c r="CA823" s="166">
        <v>200</v>
      </c>
      <c r="CC823" s="753"/>
      <c r="CE823" s="166">
        <v>200</v>
      </c>
      <c r="CF823" s="166"/>
      <c r="CO823" s="16"/>
    </row>
    <row r="824" spans="1:93" x14ac:dyDescent="0.3">
      <c r="A824" s="11">
        <v>692</v>
      </c>
      <c r="B824" s="3" t="s">
        <v>2</v>
      </c>
      <c r="C824" s="37">
        <v>69205</v>
      </c>
      <c r="D824" s="37">
        <v>53500</v>
      </c>
      <c r="E824" s="49" t="s">
        <v>118</v>
      </c>
      <c r="F824" s="3" t="s">
        <v>2</v>
      </c>
      <c r="G824" s="3" t="s">
        <v>950</v>
      </c>
      <c r="H824" s="26">
        <v>600</v>
      </c>
      <c r="I824" s="244">
        <v>-200</v>
      </c>
      <c r="J824" s="16">
        <f t="shared" si="415"/>
        <v>400</v>
      </c>
      <c r="K824" s="122">
        <f t="shared" si="416"/>
        <v>-0.33333333333333331</v>
      </c>
      <c r="M824" s="117">
        <v>400</v>
      </c>
      <c r="N824" s="117">
        <v>400</v>
      </c>
      <c r="P824" s="259"/>
      <c r="R824" s="26">
        <v>400</v>
      </c>
      <c r="S824" s="26">
        <v>350</v>
      </c>
      <c r="U824" s="26">
        <v>400</v>
      </c>
      <c r="V824" s="244">
        <v>0</v>
      </c>
      <c r="W824" s="16">
        <f t="shared" si="417"/>
        <v>400</v>
      </c>
      <c r="X824" s="122">
        <f t="shared" si="418"/>
        <v>0</v>
      </c>
      <c r="Z824" s="117">
        <v>400</v>
      </c>
      <c r="AA824" s="117">
        <v>400</v>
      </c>
      <c r="AC824" s="259"/>
      <c r="AE824" s="26">
        <v>400</v>
      </c>
      <c r="AF824" s="200">
        <v>400</v>
      </c>
      <c r="AH824" s="26">
        <v>400</v>
      </c>
      <c r="AI824" s="244"/>
      <c r="AJ824" s="16">
        <f t="shared" si="419"/>
        <v>400</v>
      </c>
      <c r="AK824" s="122">
        <f t="shared" si="420"/>
        <v>0</v>
      </c>
      <c r="AM824" s="117">
        <v>400</v>
      </c>
      <c r="AN824" s="117">
        <v>400</v>
      </c>
      <c r="AP824" s="259"/>
      <c r="AR824" s="26">
        <v>400</v>
      </c>
      <c r="AS824" s="26">
        <v>0</v>
      </c>
      <c r="AU824" s="26">
        <f t="shared" si="421"/>
        <v>400</v>
      </c>
      <c r="AV824" s="244"/>
      <c r="AW824" s="16">
        <f t="shared" si="422"/>
        <v>400</v>
      </c>
      <c r="AX824" s="122">
        <f t="shared" si="423"/>
        <v>0</v>
      </c>
      <c r="AZ824" s="117">
        <v>400</v>
      </c>
      <c r="BA824" s="117">
        <v>400</v>
      </c>
      <c r="BC824" s="259"/>
      <c r="BE824" s="26">
        <v>400</v>
      </c>
      <c r="BF824" s="26">
        <v>0</v>
      </c>
      <c r="BH824" s="26">
        <v>400</v>
      </c>
      <c r="BI824" s="244"/>
      <c r="BJ824" s="16">
        <f t="shared" si="424"/>
        <v>400</v>
      </c>
      <c r="BK824" s="122">
        <f t="shared" si="425"/>
        <v>0</v>
      </c>
      <c r="BM824" s="117">
        <v>400</v>
      </c>
      <c r="BN824" s="117">
        <v>400</v>
      </c>
      <c r="BP824" s="259"/>
      <c r="BR824" s="117">
        <v>400</v>
      </c>
      <c r="BS824" s="26"/>
      <c r="BU824" s="26">
        <v>400</v>
      </c>
      <c r="BV824" s="244"/>
      <c r="BW824" s="576">
        <f t="shared" si="426"/>
        <v>400</v>
      </c>
      <c r="BX824" s="577">
        <f t="shared" si="427"/>
        <v>0</v>
      </c>
      <c r="BZ824" s="166">
        <v>400</v>
      </c>
      <c r="CA824" s="166">
        <v>400</v>
      </c>
      <c r="CC824" s="753"/>
      <c r="CE824" s="166">
        <v>400</v>
      </c>
      <c r="CF824" s="166"/>
      <c r="CO824" s="16"/>
    </row>
    <row r="825" spans="1:93" x14ac:dyDescent="0.3">
      <c r="A825" s="11">
        <v>692</v>
      </c>
      <c r="B825" s="3" t="s">
        <v>2</v>
      </c>
      <c r="C825" s="37">
        <v>69205</v>
      </c>
      <c r="D825" s="37">
        <v>53600</v>
      </c>
      <c r="E825" s="49" t="s">
        <v>118</v>
      </c>
      <c r="F825" s="3" t="s">
        <v>2</v>
      </c>
      <c r="G825" s="3" t="s">
        <v>951</v>
      </c>
      <c r="H825" s="26">
        <v>500</v>
      </c>
      <c r="I825" s="244">
        <v>-100</v>
      </c>
      <c r="J825" s="16">
        <f t="shared" si="415"/>
        <v>400</v>
      </c>
      <c r="K825" s="122">
        <f t="shared" si="416"/>
        <v>-0.2</v>
      </c>
      <c r="M825" s="117">
        <v>400</v>
      </c>
      <c r="N825" s="117">
        <v>400</v>
      </c>
      <c r="P825" s="259"/>
      <c r="R825" s="26">
        <v>400</v>
      </c>
      <c r="S825" s="26">
        <v>300</v>
      </c>
      <c r="U825" s="26">
        <v>400</v>
      </c>
      <c r="V825" s="244">
        <v>0</v>
      </c>
      <c r="W825" s="16">
        <f t="shared" si="417"/>
        <v>400</v>
      </c>
      <c r="X825" s="122">
        <f t="shared" si="418"/>
        <v>0</v>
      </c>
      <c r="Z825" s="117">
        <v>400</v>
      </c>
      <c r="AA825" s="117">
        <v>400</v>
      </c>
      <c r="AC825" s="259"/>
      <c r="AE825" s="26">
        <v>400</v>
      </c>
      <c r="AF825" s="200">
        <v>400</v>
      </c>
      <c r="AH825" s="26">
        <v>400</v>
      </c>
      <c r="AI825" s="244"/>
      <c r="AJ825" s="16">
        <f t="shared" si="419"/>
        <v>400</v>
      </c>
      <c r="AK825" s="122">
        <f t="shared" si="420"/>
        <v>0</v>
      </c>
      <c r="AM825" s="117">
        <v>400</v>
      </c>
      <c r="AN825" s="117">
        <v>400</v>
      </c>
      <c r="AP825" s="259"/>
      <c r="AR825" s="26">
        <v>400</v>
      </c>
      <c r="AS825" s="26">
        <v>450</v>
      </c>
      <c r="AU825" s="26">
        <f t="shared" si="421"/>
        <v>400</v>
      </c>
      <c r="AV825" s="244"/>
      <c r="AW825" s="16">
        <f t="shared" si="422"/>
        <v>400</v>
      </c>
      <c r="AX825" s="122">
        <f t="shared" si="423"/>
        <v>0</v>
      </c>
      <c r="AZ825" s="117">
        <v>400</v>
      </c>
      <c r="BA825" s="117">
        <v>400</v>
      </c>
      <c r="BC825" s="259"/>
      <c r="BE825" s="26">
        <v>400</v>
      </c>
      <c r="BF825" s="26">
        <v>0</v>
      </c>
      <c r="BH825" s="26">
        <v>400</v>
      </c>
      <c r="BI825" s="244"/>
      <c r="BJ825" s="16">
        <f t="shared" si="424"/>
        <v>400</v>
      </c>
      <c r="BK825" s="122">
        <f t="shared" si="425"/>
        <v>0</v>
      </c>
      <c r="BM825" s="117">
        <v>400</v>
      </c>
      <c r="BN825" s="117">
        <v>400</v>
      </c>
      <c r="BP825" s="259"/>
      <c r="BR825" s="117">
        <v>400</v>
      </c>
      <c r="BS825" s="26">
        <v>425</v>
      </c>
      <c r="BU825" s="26">
        <v>400</v>
      </c>
      <c r="BV825" s="244"/>
      <c r="BW825" s="576">
        <f t="shared" si="426"/>
        <v>400</v>
      </c>
      <c r="BX825" s="577">
        <f t="shared" si="427"/>
        <v>0</v>
      </c>
      <c r="BZ825" s="166">
        <v>400</v>
      </c>
      <c r="CA825" s="166">
        <v>400</v>
      </c>
      <c r="CC825" s="753"/>
      <c r="CE825" s="166">
        <v>400</v>
      </c>
      <c r="CF825" s="166"/>
      <c r="CO825" s="16"/>
    </row>
    <row r="826" spans="1:93" x14ac:dyDescent="0.3">
      <c r="A826" s="11">
        <v>692</v>
      </c>
      <c r="B826" s="3" t="s">
        <v>2</v>
      </c>
      <c r="C826" s="37">
        <v>69205</v>
      </c>
      <c r="D826" s="37">
        <v>55800</v>
      </c>
      <c r="E826" s="49" t="s">
        <v>118</v>
      </c>
      <c r="F826" s="3" t="s">
        <v>2</v>
      </c>
      <c r="G826" s="3" t="s">
        <v>952</v>
      </c>
      <c r="H826" s="26">
        <v>250</v>
      </c>
      <c r="I826" s="244">
        <v>-100</v>
      </c>
      <c r="J826" s="16">
        <f t="shared" si="415"/>
        <v>150</v>
      </c>
      <c r="K826" s="122">
        <f t="shared" si="416"/>
        <v>-0.4</v>
      </c>
      <c r="M826" s="117">
        <v>150</v>
      </c>
      <c r="N826" s="117">
        <v>150</v>
      </c>
      <c r="P826" s="259"/>
      <c r="R826" s="26">
        <v>150</v>
      </c>
      <c r="S826" s="26">
        <v>0</v>
      </c>
      <c r="U826" s="26">
        <v>150</v>
      </c>
      <c r="V826" s="244">
        <v>0</v>
      </c>
      <c r="W826" s="16">
        <f t="shared" si="417"/>
        <v>150</v>
      </c>
      <c r="X826" s="122">
        <f t="shared" si="418"/>
        <v>0</v>
      </c>
      <c r="Z826" s="117">
        <v>150</v>
      </c>
      <c r="AA826" s="117">
        <v>150</v>
      </c>
      <c r="AC826" s="259"/>
      <c r="AE826" s="26">
        <v>150</v>
      </c>
      <c r="AF826" s="200">
        <v>0</v>
      </c>
      <c r="AH826" s="26">
        <v>150</v>
      </c>
      <c r="AI826" s="244"/>
      <c r="AJ826" s="16">
        <f t="shared" si="419"/>
        <v>150</v>
      </c>
      <c r="AK826" s="122">
        <f t="shared" si="420"/>
        <v>0</v>
      </c>
      <c r="AM826" s="117">
        <v>150</v>
      </c>
      <c r="AN826" s="117">
        <v>150</v>
      </c>
      <c r="AP826" s="259"/>
      <c r="AR826" s="26">
        <v>150</v>
      </c>
      <c r="AS826" s="26">
        <v>54</v>
      </c>
      <c r="AU826" s="26">
        <f t="shared" si="421"/>
        <v>150</v>
      </c>
      <c r="AV826" s="244"/>
      <c r="AW826" s="16">
        <f t="shared" si="422"/>
        <v>150</v>
      </c>
      <c r="AX826" s="122">
        <f t="shared" si="423"/>
        <v>0</v>
      </c>
      <c r="AZ826" s="117">
        <v>150</v>
      </c>
      <c r="BA826" s="117">
        <v>150</v>
      </c>
      <c r="BC826" s="259"/>
      <c r="BE826" s="26">
        <v>150</v>
      </c>
      <c r="BF826" s="26">
        <v>0</v>
      </c>
      <c r="BH826" s="26">
        <v>150</v>
      </c>
      <c r="BI826" s="244"/>
      <c r="BJ826" s="16">
        <f t="shared" si="424"/>
        <v>150</v>
      </c>
      <c r="BK826" s="122">
        <f t="shared" si="425"/>
        <v>0</v>
      </c>
      <c r="BM826" s="117">
        <v>150</v>
      </c>
      <c r="BN826" s="117">
        <v>150</v>
      </c>
      <c r="BP826" s="259"/>
      <c r="BR826" s="117">
        <v>150</v>
      </c>
      <c r="BS826" s="26"/>
      <c r="BU826" s="26">
        <v>150</v>
      </c>
      <c r="BV826" s="244"/>
      <c r="BW826" s="576">
        <f t="shared" si="426"/>
        <v>150</v>
      </c>
      <c r="BX826" s="577">
        <f t="shared" si="427"/>
        <v>0</v>
      </c>
      <c r="BZ826" s="166">
        <v>150</v>
      </c>
      <c r="CA826" s="166">
        <v>150</v>
      </c>
      <c r="CC826" s="753"/>
      <c r="CE826" s="166">
        <v>150</v>
      </c>
      <c r="CF826" s="166"/>
      <c r="CO826" s="16"/>
    </row>
    <row r="827" spans="1:93" s="19" customFormat="1" x14ac:dyDescent="0.3">
      <c r="A827" s="27"/>
      <c r="B827" s="8"/>
      <c r="C827" s="42"/>
      <c r="D827" s="42"/>
      <c r="E827" s="54"/>
      <c r="F827" s="8"/>
      <c r="G827" s="57" t="s">
        <v>364</v>
      </c>
      <c r="H827" s="28">
        <f t="shared" ref="H827" si="428">SUM(H821:H826)</f>
        <v>2550</v>
      </c>
      <c r="I827" s="28">
        <f>SUM(I821:I826)</f>
        <v>-800</v>
      </c>
      <c r="J827" s="28">
        <f>SUM(J821:J826)</f>
        <v>1750</v>
      </c>
      <c r="K827" s="123">
        <f>IF(H827=0," ",(J827-H827)/H827)</f>
        <v>-0.31372549019607843</v>
      </c>
      <c r="M827" s="28">
        <f>SUM(M821:M826)</f>
        <v>1750</v>
      </c>
      <c r="N827" s="28">
        <f>SUM(N821:N826)</f>
        <v>1750</v>
      </c>
      <c r="P827" s="139">
        <f>SUM(P821:P826)</f>
        <v>0</v>
      </c>
      <c r="R827" s="28">
        <f>SUM(R821:R826)</f>
        <v>1750</v>
      </c>
      <c r="S827" s="28">
        <f>SUM(S821:S826)</f>
        <v>650</v>
      </c>
      <c r="U827" s="28">
        <f>SUM(U821:U826)</f>
        <v>1750</v>
      </c>
      <c r="V827" s="28">
        <f>SUM(V821:V826)</f>
        <v>0</v>
      </c>
      <c r="W827" s="28">
        <f>SUM(W821:W826)</f>
        <v>1750</v>
      </c>
      <c r="X827" s="123">
        <f>IF(U827=0," ",(W827-U827)/U827)</f>
        <v>0</v>
      </c>
      <c r="Z827" s="28">
        <f>SUM(Z821:Z826)</f>
        <v>1750</v>
      </c>
      <c r="AA827" s="28">
        <f>SUM(AA821:AA826)</f>
        <v>1750</v>
      </c>
      <c r="AC827" s="139"/>
      <c r="AE827" s="28">
        <f>SUM(AE821:AE826)</f>
        <v>1750</v>
      </c>
      <c r="AF827" s="201">
        <f>SUM(AF821:AF826)</f>
        <v>800</v>
      </c>
      <c r="AH827" s="28">
        <v>1750</v>
      </c>
      <c r="AI827" s="28">
        <f>SUM(AI821:AI826)</f>
        <v>0</v>
      </c>
      <c r="AJ827" s="28">
        <f>SUM(AJ821:AJ826)</f>
        <v>1750</v>
      </c>
      <c r="AK827" s="123">
        <f>IF(AH827=0," ",(AJ827-AH827)/AH827)</f>
        <v>0</v>
      </c>
      <c r="AM827" s="28">
        <f>SUM(AM821:AM826)</f>
        <v>1750</v>
      </c>
      <c r="AN827" s="28">
        <f>SUM(AN821:AN826)</f>
        <v>1750</v>
      </c>
      <c r="AP827" s="139"/>
      <c r="AR827" s="28">
        <f>SUM(AR821:AR826)</f>
        <v>1750</v>
      </c>
      <c r="AS827" s="28">
        <f>SUM(AS821:AS826)</f>
        <v>504</v>
      </c>
      <c r="AU827" s="28">
        <f>SUM(AU821:AU826)</f>
        <v>1750</v>
      </c>
      <c r="AV827" s="28">
        <f>SUM(AV821:AV826)</f>
        <v>0</v>
      </c>
      <c r="AW827" s="28">
        <f>SUM(AW821:AW826)</f>
        <v>1750</v>
      </c>
      <c r="AX827" s="123">
        <f>IF(AU827=0," ",(AW827-AU827)/AU827)</f>
        <v>0</v>
      </c>
      <c r="AZ827" s="28">
        <f>SUM(AZ821:AZ826)</f>
        <v>1750</v>
      </c>
      <c r="BA827" s="28">
        <f>SUM(BA821:BA826)</f>
        <v>1750</v>
      </c>
      <c r="BC827" s="139"/>
      <c r="BE827" s="28">
        <f>SUM(BE821:BE826)</f>
        <v>1750</v>
      </c>
      <c r="BF827" s="28">
        <f>SUM(BF821:BF826)</f>
        <v>0</v>
      </c>
      <c r="BG827" s="9"/>
      <c r="BH827" s="28">
        <f>SUM(BH821:BH826)</f>
        <v>1750</v>
      </c>
      <c r="BI827" s="28">
        <f>SUM(BI821:BI826)</f>
        <v>0</v>
      </c>
      <c r="BJ827" s="28">
        <f>SUM(BJ821:BJ826)</f>
        <v>1750</v>
      </c>
      <c r="BK827" s="123">
        <f>IF(BH827=0," ",(BJ827-BH827)/BH827)</f>
        <v>0</v>
      </c>
      <c r="BM827" s="28">
        <f>SUM(BM821:BM826)</f>
        <v>1750</v>
      </c>
      <c r="BN827" s="28">
        <f>SUM(BN821:BN826)</f>
        <v>1750</v>
      </c>
      <c r="BP827" s="139"/>
      <c r="BR827" s="28">
        <f>SUM(BR821:BR826)</f>
        <v>1750</v>
      </c>
      <c r="BS827" s="28">
        <f>SUM(BS821:BS826)</f>
        <v>425</v>
      </c>
      <c r="BT827" s="9"/>
      <c r="BU827" s="28">
        <f>SUM(BU821:BU826)</f>
        <v>1750</v>
      </c>
      <c r="BV827" s="532">
        <f>SUM(BV821:BV826)</f>
        <v>0</v>
      </c>
      <c r="BW827" s="591">
        <f>SUM(BW821:BW826)</f>
        <v>1750</v>
      </c>
      <c r="BX827" s="579">
        <f>IF(BU827=0," ",(BW827-BU827)/BU827)</f>
        <v>0</v>
      </c>
      <c r="BY827" s="580"/>
      <c r="BZ827" s="591">
        <f>SUM(BZ821:BZ826)</f>
        <v>1750</v>
      </c>
      <c r="CA827" s="591">
        <f>SUM(CA821:CA826)</f>
        <v>1750</v>
      </c>
      <c r="CB827" s="580"/>
      <c r="CC827" s="769"/>
      <c r="CD827" s="580"/>
      <c r="CE827" s="591">
        <f>SUM(CE821:CE826)</f>
        <v>1750</v>
      </c>
      <c r="CF827" s="591">
        <f>SUM(CF821:CF826)</f>
        <v>0</v>
      </c>
      <c r="CG827" s="9"/>
      <c r="CH827" s="815"/>
      <c r="CI827" s="815"/>
      <c r="CJ827" s="887"/>
      <c r="CO827" s="16"/>
    </row>
    <row r="828" spans="1:93" ht="9.9" customHeight="1" x14ac:dyDescent="0.3">
      <c r="AS828" s="16"/>
      <c r="CO828" s="16"/>
    </row>
    <row r="829" spans="1:93" s="1" customFormat="1" x14ac:dyDescent="0.3">
      <c r="A829" s="20"/>
      <c r="B829" s="5"/>
      <c r="C829" s="39"/>
      <c r="D829" s="39"/>
      <c r="E829" s="51"/>
      <c r="F829" s="5"/>
      <c r="G829" s="21" t="s">
        <v>366</v>
      </c>
      <c r="H829" s="22">
        <f t="shared" ref="H829" si="429">H819+H827</f>
        <v>2650</v>
      </c>
      <c r="I829" s="22">
        <f>I819+I827</f>
        <v>-800</v>
      </c>
      <c r="J829" s="22">
        <f>J819+J827</f>
        <v>1850</v>
      </c>
      <c r="K829" s="124">
        <f>IF(H829=0," ",(J829-H829)/H829)</f>
        <v>-0.30188679245283018</v>
      </c>
      <c r="M829" s="22">
        <f>M819+M827</f>
        <v>1850</v>
      </c>
      <c r="N829" s="22">
        <f>N819+N827</f>
        <v>1850</v>
      </c>
      <c r="P829" s="136">
        <f>P819+P827</f>
        <v>0</v>
      </c>
      <c r="R829" s="22">
        <f>R819+R827</f>
        <v>1850</v>
      </c>
      <c r="S829" s="22">
        <f>S819+S827</f>
        <v>650</v>
      </c>
      <c r="U829" s="22">
        <f>U819+U827</f>
        <v>1850</v>
      </c>
      <c r="V829" s="22">
        <f>V819+V827</f>
        <v>0</v>
      </c>
      <c r="W829" s="22">
        <f>W819+W827</f>
        <v>1850</v>
      </c>
      <c r="X829" s="124">
        <f>IF(U829=0," ",(W829-U829)/U829)</f>
        <v>0</v>
      </c>
      <c r="Z829" s="22">
        <f>Z819+Z827</f>
        <v>1850</v>
      </c>
      <c r="AA829" s="22">
        <f>AA819+AA827</f>
        <v>1850</v>
      </c>
      <c r="AC829" s="136"/>
      <c r="AE829" s="22">
        <f>AE819+AE827</f>
        <v>1850</v>
      </c>
      <c r="AF829" s="199">
        <f>AF819+AF827</f>
        <v>800</v>
      </c>
      <c r="AH829" s="22">
        <v>1850</v>
      </c>
      <c r="AI829" s="22">
        <f>AI819+AI827</f>
        <v>0</v>
      </c>
      <c r="AJ829" s="22">
        <f>AJ819+AJ827</f>
        <v>1850</v>
      </c>
      <c r="AK829" s="124">
        <f>IF(AH829=0," ",(AJ829-AH829)/AH829)</f>
        <v>0</v>
      </c>
      <c r="AM829" s="22">
        <f>AM819+AM827</f>
        <v>1850</v>
      </c>
      <c r="AN829" s="22">
        <f>AN819+AN827</f>
        <v>1850</v>
      </c>
      <c r="AP829" s="136"/>
      <c r="AR829" s="22">
        <f>AR819+AR827</f>
        <v>1850</v>
      </c>
      <c r="AS829" s="22">
        <f>AS819+AS827</f>
        <v>504</v>
      </c>
      <c r="AU829" s="22">
        <f>AU819+AU827</f>
        <v>1850</v>
      </c>
      <c r="AV829" s="22">
        <f>AV819+AV827</f>
        <v>0</v>
      </c>
      <c r="AW829" s="22">
        <f>AW819+AW827</f>
        <v>1850</v>
      </c>
      <c r="AX829" s="124">
        <f>IF(AU829=0," ",(AW829-AU829)/AU829)</f>
        <v>0</v>
      </c>
      <c r="AZ829" s="22">
        <f>AZ819+AZ827</f>
        <v>1850</v>
      </c>
      <c r="BA829" s="22">
        <f>BA819+BA827</f>
        <v>1850</v>
      </c>
      <c r="BC829" s="136"/>
      <c r="BE829" s="22">
        <f>BE819+BE827</f>
        <v>1850</v>
      </c>
      <c r="BF829" s="22">
        <f>BF819+BF827</f>
        <v>0</v>
      </c>
      <c r="BH829" s="22">
        <f>BH819+BH827</f>
        <v>1850</v>
      </c>
      <c r="BI829" s="22">
        <f>BI819+BI827</f>
        <v>0</v>
      </c>
      <c r="BJ829" s="22">
        <f>BJ819+BJ827</f>
        <v>1850</v>
      </c>
      <c r="BK829" s="124">
        <f>IF(BH829=0," ",(BJ829-BH829)/BH829)</f>
        <v>0</v>
      </c>
      <c r="BM829" s="22">
        <f>BM819+BM827</f>
        <v>1850</v>
      </c>
      <c r="BN829" s="22">
        <f>BN819+BN827</f>
        <v>1850</v>
      </c>
      <c r="BP829" s="136"/>
      <c r="BR829" s="22">
        <f>BR819+BR827</f>
        <v>1850</v>
      </c>
      <c r="BS829" s="22">
        <f>BS819+BS827</f>
        <v>425</v>
      </c>
      <c r="BU829" s="22">
        <f>BU819+BU827</f>
        <v>1850</v>
      </c>
      <c r="BV829" s="531">
        <f>BV819+BV827</f>
        <v>0</v>
      </c>
      <c r="BW829" s="581">
        <f>BW819+BW827</f>
        <v>1850</v>
      </c>
      <c r="BX829" s="582">
        <f>IF(BU829=0," ",(BW829-BU829)/BU829)</f>
        <v>0</v>
      </c>
      <c r="BY829" s="573"/>
      <c r="BZ829" s="581">
        <f>BZ819+BZ827</f>
        <v>1850</v>
      </c>
      <c r="CA829" s="581">
        <f>CA819+CA827</f>
        <v>1850</v>
      </c>
      <c r="CB829" s="573"/>
      <c r="CC829" s="764"/>
      <c r="CD829" s="573"/>
      <c r="CE829" s="581">
        <f>CE819+CE827</f>
        <v>1850</v>
      </c>
      <c r="CF829" s="581">
        <f>CF819+CF827</f>
        <v>0</v>
      </c>
      <c r="CH829" s="812"/>
      <c r="CI829" s="812"/>
      <c r="CJ829" s="887"/>
      <c r="CO829" s="16"/>
    </row>
    <row r="830" spans="1:93" ht="20.100000000000001" customHeight="1" x14ac:dyDescent="0.3">
      <c r="AS830" s="16"/>
      <c r="CO830" s="16"/>
    </row>
    <row r="831" spans="1:93" s="1" customFormat="1" ht="15.6" x14ac:dyDescent="0.3">
      <c r="A831" s="14" t="s">
        <v>703</v>
      </c>
      <c r="B831" s="2"/>
      <c r="C831" s="36"/>
      <c r="D831" s="36"/>
      <c r="E831" s="48"/>
      <c r="F831" s="2"/>
      <c r="G831" s="2"/>
      <c r="H831" s="15"/>
      <c r="I831" s="15"/>
      <c r="J831" s="15"/>
      <c r="K831" s="121"/>
      <c r="M831" s="15"/>
      <c r="N831" s="15"/>
      <c r="P831" s="133"/>
      <c r="R831" s="15"/>
      <c r="S831" s="15"/>
      <c r="U831" s="15"/>
      <c r="V831" s="15"/>
      <c r="W831" s="15"/>
      <c r="X831" s="121"/>
      <c r="Z831" s="15"/>
      <c r="AA831" s="15"/>
      <c r="AC831" s="133"/>
      <c r="AE831" s="15"/>
      <c r="AF831" s="196"/>
      <c r="AH831" s="15"/>
      <c r="AI831" s="15"/>
      <c r="AJ831" s="15"/>
      <c r="AK831" s="121"/>
      <c r="AM831" s="15"/>
      <c r="AN831" s="15"/>
      <c r="AP831" s="133"/>
      <c r="AR831" s="15"/>
      <c r="AS831" s="15"/>
      <c r="AU831" s="15"/>
      <c r="AV831" s="15"/>
      <c r="AW831" s="15"/>
      <c r="AX831" s="121"/>
      <c r="AZ831" s="15"/>
      <c r="BA831" s="15"/>
      <c r="BC831" s="133"/>
      <c r="BE831" s="15"/>
      <c r="BF831" s="15"/>
      <c r="BH831" s="15"/>
      <c r="BI831" s="15"/>
      <c r="BJ831" s="15"/>
      <c r="BK831" s="121"/>
      <c r="BM831" s="15"/>
      <c r="BN831" s="15"/>
      <c r="BP831" s="234"/>
      <c r="BR831" s="15"/>
      <c r="BS831" s="15"/>
      <c r="BU831" s="15"/>
      <c r="BV831" s="529"/>
      <c r="BW831" s="574"/>
      <c r="BX831" s="575"/>
      <c r="BY831" s="573"/>
      <c r="BZ831" s="574"/>
      <c r="CA831" s="574"/>
      <c r="CB831" s="573"/>
      <c r="CC831" s="761"/>
      <c r="CD831" s="573"/>
      <c r="CE831" s="574"/>
      <c r="CF831" s="574"/>
      <c r="CH831" s="812"/>
      <c r="CI831" s="812"/>
      <c r="CJ831" s="887"/>
      <c r="CO831" s="16"/>
    </row>
    <row r="832" spans="1:93" x14ac:dyDescent="0.3">
      <c r="A832" s="11">
        <v>693</v>
      </c>
      <c r="B832" s="3" t="s">
        <v>2</v>
      </c>
      <c r="C832" s="37">
        <v>69305</v>
      </c>
      <c r="D832" s="37">
        <v>53430</v>
      </c>
      <c r="E832" s="49" t="s">
        <v>118</v>
      </c>
      <c r="F832" s="3" t="s">
        <v>2</v>
      </c>
      <c r="G832" s="3" t="s">
        <v>3</v>
      </c>
      <c r="H832" s="26">
        <v>0</v>
      </c>
      <c r="I832" s="244"/>
      <c r="J832" s="16">
        <f>H832+I832</f>
        <v>0</v>
      </c>
      <c r="K832" s="122" t="str">
        <f>IF(H832=0," ",(J832-H832)/H832)</f>
        <v xml:space="preserve"> </v>
      </c>
      <c r="M832" s="117"/>
      <c r="N832" s="117"/>
      <c r="P832" s="259"/>
      <c r="R832" s="26">
        <v>0</v>
      </c>
      <c r="S832" s="26"/>
      <c r="U832" s="26"/>
      <c r="V832" s="244"/>
      <c r="W832" s="16">
        <f>U832+V832</f>
        <v>0</v>
      </c>
      <c r="X832" s="122" t="str">
        <f>IF(U832=0," ",(W832-U832)/U832)</f>
        <v xml:space="preserve"> </v>
      </c>
      <c r="Z832" s="117"/>
      <c r="AA832" s="117"/>
      <c r="AC832" s="259"/>
      <c r="AE832" s="26"/>
      <c r="AF832" s="200"/>
      <c r="AH832" s="26"/>
      <c r="AI832" s="244"/>
      <c r="AJ832" s="16">
        <f>AH832+AI832</f>
        <v>0</v>
      </c>
      <c r="AK832" s="122" t="str">
        <f>IF(AH832=0," ",(AJ832-AH832)/AH832)</f>
        <v xml:space="preserve"> </v>
      </c>
      <c r="AM832" s="117"/>
      <c r="AN832" s="117"/>
      <c r="AP832" s="259"/>
      <c r="AR832" s="26"/>
      <c r="AS832" s="26"/>
      <c r="AU832" s="26">
        <f>AR832</f>
        <v>0</v>
      </c>
      <c r="AV832" s="244"/>
      <c r="AW832" s="16">
        <f>AU832+AV832</f>
        <v>0</v>
      </c>
      <c r="AX832" s="122" t="str">
        <f>IF(AU832=0," ",(AW832-AU832)/AU832)</f>
        <v xml:space="preserve"> </v>
      </c>
      <c r="AZ832" s="117"/>
      <c r="BA832" s="117"/>
      <c r="BC832" s="259"/>
      <c r="BE832" s="26"/>
      <c r="BF832" s="26"/>
      <c r="BH832" s="26"/>
      <c r="BI832" s="244"/>
      <c r="BJ832" s="16">
        <f>BH832+BI832</f>
        <v>0</v>
      </c>
      <c r="BK832" s="122" t="str">
        <f>IF(BH832=0," ",(BJ832-BH832)/BH832)</f>
        <v xml:space="preserve"> </v>
      </c>
      <c r="BM832" s="117">
        <v>0</v>
      </c>
      <c r="BN832" s="117"/>
      <c r="BP832" s="427" t="s">
        <v>1147</v>
      </c>
      <c r="BR832" s="117"/>
      <c r="BS832" s="26"/>
      <c r="BU832" s="26"/>
      <c r="BV832" s="244"/>
      <c r="BW832" s="576">
        <f>BU832+BV832</f>
        <v>0</v>
      </c>
      <c r="BX832" s="577" t="str">
        <f>IF(BU832=0," ",(BW832-BU832)/BU832)</f>
        <v xml:space="preserve"> </v>
      </c>
      <c r="BZ832" s="166">
        <v>0</v>
      </c>
      <c r="CA832" s="166">
        <v>0</v>
      </c>
      <c r="CC832" s="783"/>
      <c r="CE832" s="166">
        <v>0</v>
      </c>
      <c r="CF832" s="166"/>
      <c r="CO832" s="16"/>
    </row>
    <row r="833" spans="1:93" x14ac:dyDescent="0.3">
      <c r="A833" s="11">
        <v>693</v>
      </c>
      <c r="B833" s="3" t="s">
        <v>2</v>
      </c>
      <c r="C833" s="37">
        <v>69305</v>
      </c>
      <c r="D833" s="37">
        <v>53450</v>
      </c>
      <c r="E833" s="49" t="s">
        <v>118</v>
      </c>
      <c r="F833" s="3" t="s">
        <v>2</v>
      </c>
      <c r="G833" s="3" t="s">
        <v>4</v>
      </c>
      <c r="H833" s="26">
        <v>0</v>
      </c>
      <c r="I833" s="244"/>
      <c r="J833" s="16">
        <f>H833+I833</f>
        <v>0</v>
      </c>
      <c r="K833" s="122" t="str">
        <f>IF(H833=0," ",(J833-H833)/H833)</f>
        <v xml:space="preserve"> </v>
      </c>
      <c r="M833" s="117"/>
      <c r="N833" s="117"/>
      <c r="P833" s="259"/>
      <c r="R833" s="26">
        <v>0</v>
      </c>
      <c r="S833" s="26"/>
      <c r="U833" s="26"/>
      <c r="V833" s="244"/>
      <c r="W833" s="16">
        <f>U833+V833</f>
        <v>0</v>
      </c>
      <c r="X833" s="122" t="str">
        <f>IF(U833=0," ",(W833-U833)/U833)</f>
        <v xml:space="preserve"> </v>
      </c>
      <c r="Z833" s="117"/>
      <c r="AA833" s="117"/>
      <c r="AC833" s="259"/>
      <c r="AE833" s="26"/>
      <c r="AF833" s="200"/>
      <c r="AH833" s="26"/>
      <c r="AI833" s="244"/>
      <c r="AJ833" s="16">
        <f>AH833+AI833</f>
        <v>0</v>
      </c>
      <c r="AK833" s="122" t="str">
        <f>IF(AH833=0," ",(AJ833-AH833)/AH833)</f>
        <v xml:space="preserve"> </v>
      </c>
      <c r="AM833" s="117"/>
      <c r="AN833" s="117"/>
      <c r="AP833" s="259"/>
      <c r="AR833" s="26"/>
      <c r="AS833" s="26"/>
      <c r="AU833" s="26">
        <f>AR833</f>
        <v>0</v>
      </c>
      <c r="AV833" s="244"/>
      <c r="AW833" s="16">
        <f>AU833+AV833</f>
        <v>0</v>
      </c>
      <c r="AX833" s="122" t="str">
        <f>IF(AU833=0," ",(AW833-AU833)/AU833)</f>
        <v xml:space="preserve"> </v>
      </c>
      <c r="AZ833" s="117"/>
      <c r="BA833" s="117"/>
      <c r="BC833" s="259"/>
      <c r="BE833" s="26"/>
      <c r="BF833" s="26"/>
      <c r="BH833" s="26"/>
      <c r="BI833" s="244"/>
      <c r="BJ833" s="16">
        <f>BH833+BI833</f>
        <v>0</v>
      </c>
      <c r="BK833" s="122" t="str">
        <f>IF(BH833=0," ",(BJ833-BH833)/BH833)</f>
        <v xml:space="preserve"> </v>
      </c>
      <c r="BM833" s="117">
        <v>0</v>
      </c>
      <c r="BN833" s="117"/>
      <c r="BP833" s="427" t="s">
        <v>1148</v>
      </c>
      <c r="BR833" s="117"/>
      <c r="BS833" s="26"/>
      <c r="BU833" s="26"/>
      <c r="BV833" s="244"/>
      <c r="BW833" s="576">
        <f>BU833+BV833</f>
        <v>0</v>
      </c>
      <c r="BX833" s="577" t="str">
        <f>IF(BU833=0," ",(BW833-BU833)/BU833)</f>
        <v xml:space="preserve"> </v>
      </c>
      <c r="BZ833" s="166">
        <v>0</v>
      </c>
      <c r="CA833" s="166">
        <v>0</v>
      </c>
      <c r="CC833" s="783"/>
      <c r="CE833" s="166">
        <v>0</v>
      </c>
      <c r="CF833" s="166"/>
      <c r="CO833" s="16"/>
    </row>
    <row r="834" spans="1:93" x14ac:dyDescent="0.3">
      <c r="A834" s="11">
        <v>693</v>
      </c>
      <c r="B834" s="3" t="s">
        <v>2</v>
      </c>
      <c r="C834" s="37">
        <v>69305</v>
      </c>
      <c r="D834" s="37">
        <v>57800</v>
      </c>
      <c r="E834" s="49" t="s">
        <v>118</v>
      </c>
      <c r="F834" s="3" t="s">
        <v>2</v>
      </c>
      <c r="G834" s="3" t="s">
        <v>22</v>
      </c>
      <c r="H834" s="26">
        <v>0</v>
      </c>
      <c r="I834" s="244"/>
      <c r="J834" s="16">
        <f>H834+I834</f>
        <v>0</v>
      </c>
      <c r="K834" s="122" t="str">
        <f>IF(H834=0," ",(J834-H834)/H834)</f>
        <v xml:space="preserve"> </v>
      </c>
      <c r="M834" s="117"/>
      <c r="N834" s="117"/>
      <c r="P834" s="259"/>
      <c r="R834" s="26">
        <v>0</v>
      </c>
      <c r="S834" s="26"/>
      <c r="U834" s="26"/>
      <c r="V834" s="244"/>
      <c r="W834" s="16">
        <f>U834+V834</f>
        <v>0</v>
      </c>
      <c r="X834" s="122" t="str">
        <f>IF(U834=0," ",(W834-U834)/U834)</f>
        <v xml:space="preserve"> </v>
      </c>
      <c r="Z834" s="117"/>
      <c r="AA834" s="117"/>
      <c r="AC834" s="259" t="s">
        <v>755</v>
      </c>
      <c r="AE834" s="26"/>
      <c r="AF834" s="200"/>
      <c r="AH834" s="26"/>
      <c r="AI834" s="244"/>
      <c r="AJ834" s="16">
        <f>AH834+AI834</f>
        <v>0</v>
      </c>
      <c r="AK834" s="122" t="str">
        <f>IF(AH834=0," ",(AJ834-AH834)/AH834)</f>
        <v xml:space="preserve"> </v>
      </c>
      <c r="AM834" s="117"/>
      <c r="AN834" s="117"/>
      <c r="AP834" s="259"/>
      <c r="AR834" s="26"/>
      <c r="AS834" s="26"/>
      <c r="AU834" s="26">
        <f>AR834</f>
        <v>0</v>
      </c>
      <c r="AV834" s="244"/>
      <c r="AW834" s="16">
        <f>AU834+AV834</f>
        <v>0</v>
      </c>
      <c r="AX834" s="122" t="str">
        <f>IF(AU834=0," ",(AW834-AU834)/AU834)</f>
        <v xml:space="preserve"> </v>
      </c>
      <c r="AZ834" s="117"/>
      <c r="BA834" s="117"/>
      <c r="BC834" s="266" t="s">
        <v>998</v>
      </c>
      <c r="BE834" s="26"/>
      <c r="BF834" s="26"/>
      <c r="BH834" s="26"/>
      <c r="BI834" s="244"/>
      <c r="BJ834" s="16">
        <f>BH834+BI834</f>
        <v>0</v>
      </c>
      <c r="BK834" s="122" t="str">
        <f>IF(BH834=0," ",(BJ834-BH834)/BH834)</f>
        <v xml:space="preserve"> </v>
      </c>
      <c r="BM834" s="117">
        <v>0</v>
      </c>
      <c r="BN834" s="117"/>
      <c r="BP834" s="259"/>
      <c r="BR834" s="117"/>
      <c r="BS834" s="26"/>
      <c r="BU834" s="26"/>
      <c r="BV834" s="244"/>
      <c r="BW834" s="576">
        <f>BU834+BV834</f>
        <v>0</v>
      </c>
      <c r="BX834" s="577" t="str">
        <f>IF(BU834=0," ",(BW834-BU834)/BU834)</f>
        <v xml:space="preserve"> </v>
      </c>
      <c r="BZ834" s="166">
        <v>0</v>
      </c>
      <c r="CA834" s="166">
        <v>0</v>
      </c>
      <c r="CC834" s="753"/>
      <c r="CE834" s="166">
        <v>0</v>
      </c>
      <c r="CF834" s="166"/>
      <c r="CO834" s="16"/>
    </row>
    <row r="835" spans="1:93" s="19" customFormat="1" x14ac:dyDescent="0.3">
      <c r="A835" s="27"/>
      <c r="B835" s="8"/>
      <c r="C835" s="42"/>
      <c r="D835" s="42"/>
      <c r="E835" s="54"/>
      <c r="F835" s="8"/>
      <c r="G835" s="57" t="s">
        <v>704</v>
      </c>
      <c r="H835" s="28">
        <f>SUM(H832:H834)</f>
        <v>0</v>
      </c>
      <c r="I835" s="28">
        <f>SUM(I832:I834)</f>
        <v>0</v>
      </c>
      <c r="J835" s="28">
        <f>SUM(J832:J834)</f>
        <v>0</v>
      </c>
      <c r="K835" s="28">
        <f>SUM(K832:K834)</f>
        <v>0</v>
      </c>
      <c r="M835" s="28">
        <f>SUM(M832:M834)</f>
        <v>0</v>
      </c>
      <c r="N835" s="28">
        <f>SUM(N832:N834)</f>
        <v>0</v>
      </c>
      <c r="P835" s="139">
        <f>SUM(P832:P834)</f>
        <v>0</v>
      </c>
      <c r="R835" s="28">
        <f>SUM(R832:R834)</f>
        <v>0</v>
      </c>
      <c r="S835" s="28">
        <f>SUM(S832:S834)</f>
        <v>0</v>
      </c>
      <c r="U835" s="28">
        <f>SUM(U832:U834)</f>
        <v>0</v>
      </c>
      <c r="V835" s="28">
        <f>SUM(V832:V834)</f>
        <v>0</v>
      </c>
      <c r="W835" s="28">
        <f>SUM(W832:W834)</f>
        <v>0</v>
      </c>
      <c r="X835" s="123" t="str">
        <f>IF(U835=0," ",(W835-U835)/U835)</f>
        <v xml:space="preserve"> </v>
      </c>
      <c r="Z835" s="28">
        <f>SUM(Z832:Z834)</f>
        <v>0</v>
      </c>
      <c r="AA835" s="28">
        <f>SUM(AA832:AA834)</f>
        <v>0</v>
      </c>
      <c r="AC835" s="139"/>
      <c r="AE835" s="28">
        <f>SUM(AE832:AE834)</f>
        <v>0</v>
      </c>
      <c r="AF835" s="201">
        <f>SUM(AF832:AF834)</f>
        <v>0</v>
      </c>
      <c r="AH835" s="28">
        <v>0</v>
      </c>
      <c r="AI835" s="28">
        <f>SUM(AI832:AI834)</f>
        <v>0</v>
      </c>
      <c r="AJ835" s="28">
        <f>SUM(AJ832:AJ834)</f>
        <v>0</v>
      </c>
      <c r="AK835" s="123" t="str">
        <f>IF(AH835=0," ",(AJ835-AH835)/AH835)</f>
        <v xml:space="preserve"> </v>
      </c>
      <c r="AM835" s="28">
        <f>SUM(AM832:AM834)</f>
        <v>0</v>
      </c>
      <c r="AN835" s="28">
        <f>SUM(AN832:AN834)</f>
        <v>0</v>
      </c>
      <c r="AP835" s="139"/>
      <c r="AR835" s="28">
        <f>SUM(AR832:AR834)</f>
        <v>0</v>
      </c>
      <c r="AS835" s="28">
        <f>SUM(AS832:AS834)</f>
        <v>0</v>
      </c>
      <c r="AU835" s="28">
        <f>SUM(AU832:AU834)</f>
        <v>0</v>
      </c>
      <c r="AV835" s="28">
        <f>SUM(AV832:AV834)</f>
        <v>0</v>
      </c>
      <c r="AW835" s="28">
        <f>SUM(AW832:AW834)</f>
        <v>0</v>
      </c>
      <c r="AX835" s="123" t="str">
        <f>IF(AU835=0," ",(AW835-AU835)/AU835)</f>
        <v xml:space="preserve"> </v>
      </c>
      <c r="AZ835" s="28">
        <f>SUM(AZ832:AZ834)</f>
        <v>0</v>
      </c>
      <c r="BA835" s="28">
        <f>SUM(BA832:BA834)</f>
        <v>0</v>
      </c>
      <c r="BC835" s="139"/>
      <c r="BE835" s="28">
        <f>SUM(BE832:BE834)</f>
        <v>0</v>
      </c>
      <c r="BF835" s="28">
        <f>SUM(BF832:BF834)</f>
        <v>0</v>
      </c>
      <c r="BG835" s="9"/>
      <c r="BH835" s="28">
        <f>SUM(BH832:BH834)</f>
        <v>0</v>
      </c>
      <c r="BI835" s="28">
        <f>SUM(BI832:BI834)</f>
        <v>0</v>
      </c>
      <c r="BJ835" s="28">
        <f>SUM(BJ832:BJ834)</f>
        <v>0</v>
      </c>
      <c r="BK835" s="123" t="str">
        <f>IF(BH835=0," ",(BJ835-BH835)/BH835)</f>
        <v xml:space="preserve"> </v>
      </c>
      <c r="BM835" s="28">
        <f>SUM(BM832:BM834)</f>
        <v>0</v>
      </c>
      <c r="BN835" s="28">
        <f>SUM(BN832:BN834)</f>
        <v>0</v>
      </c>
      <c r="BP835" s="139"/>
      <c r="BR835" s="28">
        <f>SUM(BR832:BR834)</f>
        <v>0</v>
      </c>
      <c r="BS835" s="28">
        <f>SUM(BS832:BS834)</f>
        <v>0</v>
      </c>
      <c r="BT835" s="9"/>
      <c r="BU835" s="28">
        <f>SUM(BU832:BU834)</f>
        <v>0</v>
      </c>
      <c r="BV835" s="532">
        <f>SUM(BV832:BV834)</f>
        <v>0</v>
      </c>
      <c r="BW835" s="591">
        <f>SUM(BW832:BW834)</f>
        <v>0</v>
      </c>
      <c r="BX835" s="579" t="str">
        <f>IF(BU835=0," ",(BW835-BU835)/BU835)</f>
        <v xml:space="preserve"> </v>
      </c>
      <c r="BY835" s="580"/>
      <c r="BZ835" s="591">
        <f>SUM(BZ832:BZ834)</f>
        <v>0</v>
      </c>
      <c r="CA835" s="591">
        <f>SUM(CA832:CA834)</f>
        <v>0</v>
      </c>
      <c r="CB835" s="580"/>
      <c r="CC835" s="769"/>
      <c r="CD835" s="580"/>
      <c r="CE835" s="591">
        <f>SUM(CE832:CE834)</f>
        <v>0</v>
      </c>
      <c r="CF835" s="591">
        <f>SUM(CF832:CF834)</f>
        <v>0</v>
      </c>
      <c r="CG835" s="9"/>
      <c r="CH835" s="815"/>
      <c r="CI835" s="815"/>
      <c r="CJ835" s="887"/>
      <c r="CO835" s="16"/>
    </row>
    <row r="836" spans="1:93" ht="9.9" customHeight="1" x14ac:dyDescent="0.3">
      <c r="AS836" s="16"/>
      <c r="CO836" s="16"/>
    </row>
    <row r="837" spans="1:93" s="1" customFormat="1" x14ac:dyDescent="0.3">
      <c r="A837" s="20"/>
      <c r="B837" s="5"/>
      <c r="C837" s="39"/>
      <c r="D837" s="39"/>
      <c r="E837" s="51"/>
      <c r="F837" s="5"/>
      <c r="G837" s="21" t="s">
        <v>705</v>
      </c>
      <c r="H837" s="22">
        <f>H835</f>
        <v>0</v>
      </c>
      <c r="I837" s="22">
        <f>I835</f>
        <v>0</v>
      </c>
      <c r="J837" s="22">
        <f>J835</f>
        <v>0</v>
      </c>
      <c r="K837" s="124" t="str">
        <f>IF(H837=0," ",(J837-H837)/H837)</f>
        <v xml:space="preserve"> </v>
      </c>
      <c r="M837" s="22">
        <f>M835</f>
        <v>0</v>
      </c>
      <c r="N837" s="22">
        <f>N835</f>
        <v>0</v>
      </c>
      <c r="P837" s="136">
        <f>P835</f>
        <v>0</v>
      </c>
      <c r="R837" s="22">
        <f>R835</f>
        <v>0</v>
      </c>
      <c r="S837" s="22">
        <f>S835</f>
        <v>0</v>
      </c>
      <c r="U837" s="22">
        <f>U835</f>
        <v>0</v>
      </c>
      <c r="V837" s="22">
        <f>V835</f>
        <v>0</v>
      </c>
      <c r="W837" s="22">
        <f>W835</f>
        <v>0</v>
      </c>
      <c r="X837" s="124" t="str">
        <f>IF(U837=0," ",(W837-U837)/U837)</f>
        <v xml:space="preserve"> </v>
      </c>
      <c r="Z837" s="22">
        <f>Z835</f>
        <v>0</v>
      </c>
      <c r="AA837" s="22">
        <f>AA835</f>
        <v>0</v>
      </c>
      <c r="AC837" s="136"/>
      <c r="AE837" s="22">
        <f>AE835</f>
        <v>0</v>
      </c>
      <c r="AF837" s="199">
        <f>AF835</f>
        <v>0</v>
      </c>
      <c r="AH837" s="22">
        <v>0</v>
      </c>
      <c r="AI837" s="22">
        <f>AI835</f>
        <v>0</v>
      </c>
      <c r="AJ837" s="22">
        <f>AJ835</f>
        <v>0</v>
      </c>
      <c r="AK837" s="124" t="str">
        <f>IF(AH837=0," ",(AJ837-AH837)/AH837)</f>
        <v xml:space="preserve"> </v>
      </c>
      <c r="AM837" s="22">
        <f>AM835</f>
        <v>0</v>
      </c>
      <c r="AN837" s="22">
        <f>AN835</f>
        <v>0</v>
      </c>
      <c r="AP837" s="136"/>
      <c r="AR837" s="22">
        <f>AR835</f>
        <v>0</v>
      </c>
      <c r="AS837" s="22">
        <f>AS835</f>
        <v>0</v>
      </c>
      <c r="AU837" s="22">
        <v>0</v>
      </c>
      <c r="AV837" s="22">
        <f>AV835</f>
        <v>0</v>
      </c>
      <c r="AW837" s="22">
        <f>AW835</f>
        <v>0</v>
      </c>
      <c r="AX837" s="124" t="str">
        <f>IF(AU837=0," ",(AW837-AU837)/AU837)</f>
        <v xml:space="preserve"> </v>
      </c>
      <c r="AZ837" s="22">
        <f>AZ835</f>
        <v>0</v>
      </c>
      <c r="BA837" s="22">
        <f>BA835</f>
        <v>0</v>
      </c>
      <c r="BC837" s="136"/>
      <c r="BE837" s="22">
        <f>BE835</f>
        <v>0</v>
      </c>
      <c r="BF837" s="22">
        <f>BF835</f>
        <v>0</v>
      </c>
      <c r="BH837" s="22">
        <f>BH835</f>
        <v>0</v>
      </c>
      <c r="BI837" s="22">
        <f>BI835</f>
        <v>0</v>
      </c>
      <c r="BJ837" s="22">
        <f>BJ835</f>
        <v>0</v>
      </c>
      <c r="BK837" s="124" t="str">
        <f>IF(BH837=0," ",(BJ837-BH837)/BH837)</f>
        <v xml:space="preserve"> </v>
      </c>
      <c r="BM837" s="22">
        <f>BM835</f>
        <v>0</v>
      </c>
      <c r="BN837" s="22">
        <f>BN835</f>
        <v>0</v>
      </c>
      <c r="BP837" s="136"/>
      <c r="BR837" s="22">
        <f>BR835</f>
        <v>0</v>
      </c>
      <c r="BS837" s="22">
        <f>BS835</f>
        <v>0</v>
      </c>
      <c r="BU837" s="22">
        <f>BU835</f>
        <v>0</v>
      </c>
      <c r="BV837" s="531">
        <f>BV835</f>
        <v>0</v>
      </c>
      <c r="BW837" s="581">
        <f>BW835</f>
        <v>0</v>
      </c>
      <c r="BX837" s="582" t="str">
        <f>IF(BU837=0," ",(BW837-BU837)/BU837)</f>
        <v xml:space="preserve"> </v>
      </c>
      <c r="BY837" s="573"/>
      <c r="BZ837" s="581">
        <f>BZ835</f>
        <v>0</v>
      </c>
      <c r="CA837" s="581">
        <f>CA835</f>
        <v>0</v>
      </c>
      <c r="CB837" s="573"/>
      <c r="CC837" s="764"/>
      <c r="CD837" s="573"/>
      <c r="CE837" s="581">
        <f>CE835</f>
        <v>0</v>
      </c>
      <c r="CF837" s="581">
        <f>CF835</f>
        <v>0</v>
      </c>
      <c r="CH837" s="812"/>
      <c r="CI837" s="812"/>
      <c r="CJ837" s="886"/>
      <c r="CO837" s="16"/>
    </row>
    <row r="838" spans="1:93" s="1" customFormat="1" ht="20.100000000000001" customHeight="1" x14ac:dyDescent="0.3">
      <c r="A838" s="58" t="s">
        <v>348</v>
      </c>
      <c r="B838" s="59"/>
      <c r="C838" s="60"/>
      <c r="D838" s="60"/>
      <c r="E838" s="61"/>
      <c r="F838" s="59"/>
      <c r="G838" s="59"/>
      <c r="H838" s="62">
        <f>H829+H815+H795+H835</f>
        <v>573491</v>
      </c>
      <c r="I838" s="62">
        <f>I829+I815+I795+I835</f>
        <v>14091</v>
      </c>
      <c r="J838" s="62">
        <f>J829+J815+J795+J835</f>
        <v>587582</v>
      </c>
      <c r="K838" s="120">
        <f>IF(H838=0," ",(J838-H838)/H838)</f>
        <v>2.4570568675009723E-2</v>
      </c>
      <c r="M838" s="62">
        <f>M829+M815+M795+M835</f>
        <v>587582</v>
      </c>
      <c r="N838" s="62">
        <f>N829+N815+N795+N835</f>
        <v>587582</v>
      </c>
      <c r="P838" s="132"/>
      <c r="R838" s="62">
        <f>R829+R815+R795+R835</f>
        <v>587582</v>
      </c>
      <c r="S838" s="62">
        <f>S837+S829+S815+S808+S795</f>
        <v>579055.46000000008</v>
      </c>
      <c r="U838" s="62">
        <f>U829+U815+U795+U835</f>
        <v>587582</v>
      </c>
      <c r="V838" s="62">
        <f>V829+V815+V795+V835</f>
        <v>19621</v>
      </c>
      <c r="W838" s="62">
        <f>W829+W815+W795+W835</f>
        <v>607203</v>
      </c>
      <c r="X838" s="120">
        <f>IF(U838=0," ",(W838-U838)/U838)</f>
        <v>3.3392786028162876E-2</v>
      </c>
      <c r="Z838" s="62">
        <f>Z829+Z815+Z795+Z835</f>
        <v>607203</v>
      </c>
      <c r="AA838" s="62">
        <f>AA829+AA815+AA795+AA835</f>
        <v>609774</v>
      </c>
      <c r="AC838" s="132"/>
      <c r="AE838" s="62">
        <f>AE829+AE815+AE795+AE835</f>
        <v>609774</v>
      </c>
      <c r="AF838" s="62">
        <f>AF837+AF829+AF815+AF808+AF795</f>
        <v>604477.30999999994</v>
      </c>
      <c r="AH838" s="62">
        <v>609774</v>
      </c>
      <c r="AI838" s="62">
        <f>AI829+AI815+AI795+AI835</f>
        <v>25586</v>
      </c>
      <c r="AJ838" s="62">
        <f>AJ829+AJ815+AJ795+AJ835</f>
        <v>635360</v>
      </c>
      <c r="AK838" s="120">
        <f>IF(AH838=0," ",(AJ838-AH838)/AH838)</f>
        <v>4.195980806003536E-2</v>
      </c>
      <c r="AM838" s="62">
        <f>AM829+AM815+AM795+AM835</f>
        <v>638658</v>
      </c>
      <c r="AN838" s="62">
        <f>AN829+AN815+AN795+AN835</f>
        <v>638658</v>
      </c>
      <c r="AP838" s="132"/>
      <c r="AR838" s="62">
        <f>AR829+AR815+AR795+AR835</f>
        <v>638658</v>
      </c>
      <c r="AS838" s="62">
        <f>AS837+AS829+AS815+AS808+AS795</f>
        <v>625360.15</v>
      </c>
      <c r="AU838" s="62">
        <f>AU829+AU815+AU795+AU835</f>
        <v>638658</v>
      </c>
      <c r="AV838" s="62">
        <f>AV829+AV815+AV795+AV835</f>
        <v>20221</v>
      </c>
      <c r="AW838" s="62">
        <f>AW829+AW815+AW795+AW835</f>
        <v>658879</v>
      </c>
      <c r="AX838" s="120">
        <f>IF(AU838=0," ",(AW838-AU838)/AU838)</f>
        <v>3.1661703133758601E-2</v>
      </c>
      <c r="AZ838" s="62">
        <f>AZ829+AZ815+AZ795+AZ835</f>
        <v>656875</v>
      </c>
      <c r="BA838" s="62">
        <f>BA829+BA815+BA795+BA835</f>
        <v>665336</v>
      </c>
      <c r="BC838" s="132"/>
      <c r="BE838" s="62">
        <f>BE837+BE829+BE815+BE808+BE795</f>
        <v>665336</v>
      </c>
      <c r="BF838" s="62">
        <f>BF837+BF829+BF815+BF808+BF795</f>
        <v>588890.30000000005</v>
      </c>
      <c r="BH838" s="62">
        <f>BH837+BH829+BH815+BH808+BH795</f>
        <v>665336</v>
      </c>
      <c r="BI838" s="62">
        <f>BI837+BI829+BI815+BI808+BI795</f>
        <v>-12889</v>
      </c>
      <c r="BJ838" s="62">
        <f>BJ837+BJ829+BJ815+BJ808+BJ795</f>
        <v>652447</v>
      </c>
      <c r="BK838" s="120">
        <f>IF(BH838=0," ",(BJ838-BH838)/BH838)</f>
        <v>-1.9372166845022666E-2</v>
      </c>
      <c r="BM838" s="62">
        <f>BM837+BM829+BM815+BM808+BM795</f>
        <v>652447</v>
      </c>
      <c r="BN838" s="62">
        <f>BN837+BN829+BN815+BN808+BN795</f>
        <v>687835</v>
      </c>
      <c r="BP838" s="398"/>
      <c r="BR838" s="62">
        <f>BR837+BR829+BR815+BR808+BR795</f>
        <v>687835</v>
      </c>
      <c r="BS838" s="62">
        <f>BS837+BS829+BS815+BS808+BS795</f>
        <v>293130.92000000004</v>
      </c>
      <c r="BU838" s="62">
        <f>BU837+BU829+BU815+BU808+BU795</f>
        <v>687835</v>
      </c>
      <c r="BV838" s="62">
        <f>BV837+BV829+BV815+BV808+BV795</f>
        <v>2956</v>
      </c>
      <c r="BW838" s="62">
        <f>BW837+BW829+BW815+BW808+BW795</f>
        <v>690791</v>
      </c>
      <c r="BX838" s="120">
        <f>IF(BU838=0," ",(BW838-BU838)/BU838)</f>
        <v>4.2975422884848841E-3</v>
      </c>
      <c r="BY838" s="573"/>
      <c r="BZ838" s="62">
        <f>BZ837+BZ829+BZ815+BZ808+BZ795</f>
        <v>690791</v>
      </c>
      <c r="CA838" s="62">
        <f>CA837+CA829+CA815+CA808+CA795</f>
        <v>702767</v>
      </c>
      <c r="CB838" s="573"/>
      <c r="CC838" s="760"/>
      <c r="CD838" s="573"/>
      <c r="CE838" s="62">
        <f>CE837+CE829+CE815+CE808+CE795</f>
        <v>702767</v>
      </c>
      <c r="CF838" s="62">
        <f>CF837+CF829+CF815+CF808+CF795</f>
        <v>0</v>
      </c>
      <c r="CH838" s="812"/>
      <c r="CI838" s="918">
        <v>690791</v>
      </c>
      <c r="CJ838" s="901">
        <v>44634</v>
      </c>
      <c r="CK838" s="902" t="s">
        <v>1622</v>
      </c>
      <c r="CL838" s="902" t="s">
        <v>1620</v>
      </c>
      <c r="CM838" s="1" t="s">
        <v>1628</v>
      </c>
      <c r="CO838" s="16"/>
    </row>
    <row r="839" spans="1:93" s="1" customFormat="1" ht="20.100000000000001" customHeight="1" x14ac:dyDescent="0.3">
      <c r="A839" s="33"/>
      <c r="B839" s="10"/>
      <c r="C839" s="44"/>
      <c r="D839" s="44"/>
      <c r="E839" s="55"/>
      <c r="F839" s="10"/>
      <c r="G839" s="10"/>
      <c r="H839" s="34"/>
      <c r="I839" s="34"/>
      <c r="J839" s="34"/>
      <c r="K839" s="129"/>
      <c r="M839" s="34"/>
      <c r="N839" s="34"/>
      <c r="P839" s="142"/>
      <c r="R839" s="34"/>
      <c r="S839" s="34"/>
      <c r="U839" s="34"/>
      <c r="V839" s="34"/>
      <c r="W839" s="34"/>
      <c r="X839" s="129"/>
      <c r="Z839" s="34"/>
      <c r="AA839" s="34"/>
      <c r="AC839" s="142"/>
      <c r="AE839" s="34"/>
      <c r="AF839" s="203"/>
      <c r="AH839" s="34"/>
      <c r="AI839" s="34"/>
      <c r="AJ839" s="34"/>
      <c r="AK839" s="129"/>
      <c r="AM839" s="34"/>
      <c r="AN839" s="34"/>
      <c r="AP839" s="142"/>
      <c r="AR839" s="34"/>
      <c r="AS839" s="34"/>
      <c r="AU839" s="34"/>
      <c r="AV839" s="34"/>
      <c r="AW839" s="34"/>
      <c r="AX839" s="129"/>
      <c r="AZ839" s="34"/>
      <c r="BA839" s="34"/>
      <c r="BC839" s="142"/>
      <c r="BE839" s="34"/>
      <c r="BF839" s="34"/>
      <c r="BH839" s="34"/>
      <c r="BI839" s="34"/>
      <c r="BJ839" s="34"/>
      <c r="BK839" s="129"/>
      <c r="BM839" s="34"/>
      <c r="BN839" s="34"/>
      <c r="BP839" s="140"/>
      <c r="BR839" s="34"/>
      <c r="BS839" s="34"/>
      <c r="BU839" s="34"/>
      <c r="BV839" s="534"/>
      <c r="BW839" s="305"/>
      <c r="BX839" s="593"/>
      <c r="BY839" s="573"/>
      <c r="BZ839" s="305"/>
      <c r="CA839" s="305"/>
      <c r="CB839" s="573"/>
      <c r="CC839" s="752"/>
      <c r="CD839" s="573"/>
      <c r="CE839" s="305"/>
      <c r="CF839" s="305"/>
      <c r="CH839" s="812"/>
      <c r="CI839" s="812"/>
      <c r="CJ839" s="905"/>
      <c r="CO839" s="16"/>
    </row>
    <row r="840" spans="1:93" s="1" customFormat="1" ht="20.100000000000001" customHeight="1" x14ac:dyDescent="0.3">
      <c r="A840" s="33"/>
      <c r="B840" s="10"/>
      <c r="C840" s="44"/>
      <c r="D840" s="44"/>
      <c r="E840" s="55"/>
      <c r="F840" s="10"/>
      <c r="G840" s="10"/>
      <c r="H840" s="34"/>
      <c r="I840" s="34"/>
      <c r="J840" s="34"/>
      <c r="K840" s="129"/>
      <c r="M840" s="34"/>
      <c r="N840" s="34"/>
      <c r="P840" s="142"/>
      <c r="R840" s="34"/>
      <c r="S840" s="34"/>
      <c r="U840" s="34"/>
      <c r="V840" s="34"/>
      <c r="W840" s="34"/>
      <c r="X840" s="129"/>
      <c r="Z840" s="34"/>
      <c r="AA840" s="34"/>
      <c r="AC840" s="142"/>
      <c r="AE840" s="34"/>
      <c r="AF840" s="203"/>
      <c r="AH840" s="34"/>
      <c r="AI840" s="34"/>
      <c r="AJ840" s="34"/>
      <c r="AK840" s="129"/>
      <c r="AM840" s="34"/>
      <c r="AN840" s="34"/>
      <c r="AP840" s="142"/>
      <c r="AR840" s="34"/>
      <c r="AS840" s="34"/>
      <c r="AU840" s="34"/>
      <c r="AV840" s="34"/>
      <c r="AW840" s="34"/>
      <c r="AX840" s="129"/>
      <c r="AZ840" s="34"/>
      <c r="BA840" s="34"/>
      <c r="BC840" s="142"/>
      <c r="BE840" s="34"/>
      <c r="BF840" s="34"/>
      <c r="BH840" s="34"/>
      <c r="BI840" s="34"/>
      <c r="BJ840" s="34"/>
      <c r="BK840" s="129"/>
      <c r="BM840" s="34"/>
      <c r="BN840" s="34"/>
      <c r="BP840" s="140"/>
      <c r="BR840" s="34"/>
      <c r="BS840" s="34"/>
      <c r="BU840" s="34"/>
      <c r="BV840" s="534"/>
      <c r="BW840" s="305"/>
      <c r="BX840" s="593"/>
      <c r="BY840" s="573"/>
      <c r="BZ840" s="305"/>
      <c r="CA840" s="305"/>
      <c r="CB840" s="573"/>
      <c r="CC840" s="752"/>
      <c r="CD840" s="573"/>
      <c r="CE840" s="305"/>
      <c r="CF840" s="305"/>
      <c r="CH840" s="812"/>
      <c r="CI840" s="812"/>
      <c r="CJ840" s="886"/>
      <c r="CO840" s="16"/>
    </row>
    <row r="841" spans="1:93" s="1" customFormat="1" ht="20.100000000000001" customHeight="1" x14ac:dyDescent="0.3">
      <c r="A841" s="63" t="s">
        <v>347</v>
      </c>
      <c r="B841" s="59"/>
      <c r="C841" s="60"/>
      <c r="D841" s="60"/>
      <c r="E841" s="61"/>
      <c r="F841" s="59"/>
      <c r="G841" s="59"/>
      <c r="H841" s="62"/>
      <c r="I841" s="62"/>
      <c r="J841" s="62"/>
      <c r="K841" s="120"/>
      <c r="M841" s="62"/>
      <c r="N841" s="62"/>
      <c r="P841" s="132"/>
      <c r="R841" s="62"/>
      <c r="S841" s="62"/>
      <c r="U841" s="62"/>
      <c r="V841" s="62"/>
      <c r="W841" s="62"/>
      <c r="X841" s="120"/>
      <c r="Z841" s="62"/>
      <c r="AA841" s="62"/>
      <c r="AC841" s="132"/>
      <c r="AE841" s="62"/>
      <c r="AF841" s="195"/>
      <c r="AH841" s="62"/>
      <c r="AI841" s="62"/>
      <c r="AJ841" s="62"/>
      <c r="AK841" s="120"/>
      <c r="AM841" s="62"/>
      <c r="AN841" s="62"/>
      <c r="AP841" s="132"/>
      <c r="AR841" s="62"/>
      <c r="AS841" s="62"/>
      <c r="AU841" s="62"/>
      <c r="AV841" s="62"/>
      <c r="AW841" s="62"/>
      <c r="AX841" s="120"/>
      <c r="AZ841" s="62"/>
      <c r="BA841" s="62"/>
      <c r="BC841" s="132"/>
      <c r="BE841" s="62"/>
      <c r="BF841" s="62"/>
      <c r="BH841" s="62"/>
      <c r="BI841" s="62"/>
      <c r="BJ841" s="62"/>
      <c r="BK841" s="120"/>
      <c r="BM841" s="62"/>
      <c r="BN841" s="62"/>
      <c r="BP841" s="398"/>
      <c r="BR841" s="62"/>
      <c r="BS841" s="62"/>
      <c r="BU841" s="62"/>
      <c r="BV841" s="528"/>
      <c r="BW841" s="571"/>
      <c r="BX841" s="572"/>
      <c r="BY841" s="573"/>
      <c r="BZ841" s="571"/>
      <c r="CA841" s="571"/>
      <c r="CB841" s="573"/>
      <c r="CC841" s="760"/>
      <c r="CD841" s="573"/>
      <c r="CE841" s="571"/>
      <c r="CF841" s="571"/>
      <c r="CH841" s="812"/>
      <c r="CI841" s="812"/>
      <c r="CJ841" s="886"/>
      <c r="CO841" s="16"/>
    </row>
    <row r="842" spans="1:93" s="1" customFormat="1" ht="15.6" x14ac:dyDescent="0.3">
      <c r="A842" s="14" t="s">
        <v>347</v>
      </c>
      <c r="B842" s="2"/>
      <c r="C842" s="36"/>
      <c r="D842" s="36"/>
      <c r="E842" s="48"/>
      <c r="F842" s="2"/>
      <c r="G842" s="2"/>
      <c r="H842" s="15"/>
      <c r="I842" s="15"/>
      <c r="J842" s="15"/>
      <c r="K842" s="121"/>
      <c r="M842" s="15"/>
      <c r="N842" s="15"/>
      <c r="P842" s="133"/>
      <c r="R842" s="15"/>
      <c r="S842" s="15"/>
      <c r="U842" s="15"/>
      <c r="V842" s="15"/>
      <c r="W842" s="15"/>
      <c r="X842" s="121"/>
      <c r="Z842" s="15"/>
      <c r="AA842" s="15"/>
      <c r="AC842" s="133"/>
      <c r="AE842" s="15"/>
      <c r="AF842" s="196"/>
      <c r="AH842" s="15"/>
      <c r="AI842" s="15"/>
      <c r="AJ842" s="15"/>
      <c r="AK842" s="121"/>
      <c r="AM842" s="15"/>
      <c r="AN842" s="15"/>
      <c r="AP842" s="133"/>
      <c r="AR842" s="15"/>
      <c r="AS842" s="15"/>
      <c r="AU842" s="15"/>
      <c r="AV842" s="15"/>
      <c r="AW842" s="15"/>
      <c r="AX842" s="121"/>
      <c r="AZ842" s="15"/>
      <c r="BA842" s="15"/>
      <c r="BC842" s="133"/>
      <c r="BE842" s="15"/>
      <c r="BF842" s="15"/>
      <c r="BH842" s="15"/>
      <c r="BI842" s="15"/>
      <c r="BJ842" s="15"/>
      <c r="BK842" s="121"/>
      <c r="BM842" s="15"/>
      <c r="BN842" s="15"/>
      <c r="BP842" s="234"/>
      <c r="BR842" s="15"/>
      <c r="BS842" s="15"/>
      <c r="BU842" s="15"/>
      <c r="BV842" s="529"/>
      <c r="BW842" s="574"/>
      <c r="BX842" s="575"/>
      <c r="BY842" s="573"/>
      <c r="BZ842" s="574"/>
      <c r="CA842" s="574"/>
      <c r="CB842" s="573"/>
      <c r="CC842" s="761"/>
      <c r="CD842" s="573"/>
      <c r="CE842" s="574"/>
      <c r="CF842" s="574"/>
      <c r="CH842" s="812"/>
      <c r="CI842" s="812"/>
      <c r="CJ842" s="886"/>
      <c r="CO842" s="16"/>
    </row>
    <row r="843" spans="1:93" x14ac:dyDescent="0.3">
      <c r="A843" s="11">
        <v>755</v>
      </c>
      <c r="B843" s="3" t="s">
        <v>2</v>
      </c>
      <c r="C843" s="37">
        <v>71005</v>
      </c>
      <c r="D843" s="37">
        <v>53800</v>
      </c>
      <c r="F843" s="3" t="s">
        <v>2</v>
      </c>
      <c r="G843" s="3" t="s">
        <v>21</v>
      </c>
      <c r="H843" s="26">
        <v>2500</v>
      </c>
      <c r="I843" s="244"/>
      <c r="J843" s="16">
        <f>H843+I843</f>
        <v>2500</v>
      </c>
      <c r="K843" s="122">
        <f>IF(H843=0," ",(J843-H843)/H843)</f>
        <v>0</v>
      </c>
      <c r="M843" s="117">
        <v>2500</v>
      </c>
      <c r="N843" s="117">
        <v>2500</v>
      </c>
      <c r="P843" s="259"/>
      <c r="R843" s="26">
        <v>2500</v>
      </c>
      <c r="S843" s="26">
        <v>250</v>
      </c>
      <c r="U843" s="26">
        <v>2500</v>
      </c>
      <c r="V843" s="244"/>
      <c r="W843" s="16">
        <f>U843+V843</f>
        <v>2500</v>
      </c>
      <c r="X843" s="122">
        <f>IF(U843=0," ",(W843-U843)/U843)</f>
        <v>0</v>
      </c>
      <c r="Z843" s="117">
        <v>2500</v>
      </c>
      <c r="AA843" s="117">
        <v>2500</v>
      </c>
      <c r="AC843" s="259"/>
      <c r="AE843" s="26">
        <v>2500</v>
      </c>
      <c r="AF843" s="200">
        <v>500</v>
      </c>
      <c r="AH843" s="26">
        <v>2500</v>
      </c>
      <c r="AI843" s="244"/>
      <c r="AJ843" s="16">
        <f>AH843+AI843</f>
        <v>2500</v>
      </c>
      <c r="AK843" s="122">
        <f>IF(AH843=0," ",(AJ843-AH843)/AH843)</f>
        <v>0</v>
      </c>
      <c r="AM843" s="117">
        <v>2500</v>
      </c>
      <c r="AN843" s="117">
        <v>2500</v>
      </c>
      <c r="AP843" s="259"/>
      <c r="AR843" s="26">
        <v>2500</v>
      </c>
      <c r="AS843" s="26">
        <v>500</v>
      </c>
      <c r="AU843" s="26">
        <f t="shared" ref="AU843:AU848" si="430">AR843</f>
        <v>2500</v>
      </c>
      <c r="AV843" s="244"/>
      <c r="AW843" s="16">
        <f t="shared" ref="AW843:AW848" si="431">AU843+AV843</f>
        <v>2500</v>
      </c>
      <c r="AX843" s="122">
        <f t="shared" ref="AX843:AX848" si="432">IF(AU843=0," ",(AW843-AU843)/AU843)</f>
        <v>0</v>
      </c>
      <c r="AZ843" s="117">
        <v>2500</v>
      </c>
      <c r="BA843" s="117">
        <v>2500</v>
      </c>
      <c r="BC843" s="259"/>
      <c r="BE843" s="26">
        <v>2500</v>
      </c>
      <c r="BF843" s="26">
        <v>2000</v>
      </c>
      <c r="BH843" s="26">
        <v>2500</v>
      </c>
      <c r="BI843" s="244"/>
      <c r="BJ843" s="16">
        <f t="shared" ref="BJ843:BJ848" si="433">BH843+BI843</f>
        <v>2500</v>
      </c>
      <c r="BK843" s="122">
        <f t="shared" ref="BK843:BK848" si="434">IF(BH843=0," ",(BJ843-BH843)/BH843)</f>
        <v>0</v>
      </c>
      <c r="BM843" s="117">
        <v>2500</v>
      </c>
      <c r="BN843" s="117">
        <v>2500</v>
      </c>
      <c r="BP843" s="259"/>
      <c r="BR843" s="117">
        <v>2500</v>
      </c>
      <c r="BS843" s="26"/>
      <c r="BU843" s="26">
        <v>2500</v>
      </c>
      <c r="BV843" s="244"/>
      <c r="BW843" s="576">
        <f t="shared" ref="BW843:BW848" si="435">BU843+BV843</f>
        <v>2500</v>
      </c>
      <c r="BX843" s="577">
        <f t="shared" ref="BX843:BX848" si="436">IF(BU843=0," ",(BW843-BU843)/BU843)</f>
        <v>0</v>
      </c>
      <c r="BZ843" s="166">
        <v>2500</v>
      </c>
      <c r="CA843" s="166">
        <v>2500</v>
      </c>
      <c r="CC843" s="753"/>
      <c r="CE843" s="166">
        <v>2500</v>
      </c>
      <c r="CF843" s="166"/>
      <c r="CO843" s="16"/>
    </row>
    <row r="844" spans="1:93" x14ac:dyDescent="0.3">
      <c r="A844" s="11">
        <v>751</v>
      </c>
      <c r="B844" s="3" t="s">
        <v>2</v>
      </c>
      <c r="C844" s="37">
        <v>71005</v>
      </c>
      <c r="D844" s="37">
        <v>59111</v>
      </c>
      <c r="F844" s="3" t="s">
        <v>2</v>
      </c>
      <c r="G844" s="3" t="s">
        <v>643</v>
      </c>
      <c r="H844" s="26">
        <v>300500</v>
      </c>
      <c r="I844" s="244">
        <v>5000</v>
      </c>
      <c r="J844" s="16">
        <f>H844+I844</f>
        <v>305500</v>
      </c>
      <c r="K844" s="122">
        <f>IF(H844=0," ",(J844-H844)/H844)</f>
        <v>1.6638935108153077E-2</v>
      </c>
      <c r="M844" s="117">
        <v>305500</v>
      </c>
      <c r="N844" s="117">
        <v>305500</v>
      </c>
      <c r="P844" s="259"/>
      <c r="R844" s="26">
        <v>305500</v>
      </c>
      <c r="S844" s="26">
        <v>305500</v>
      </c>
      <c r="U844" s="26">
        <v>305500</v>
      </c>
      <c r="V844" s="244">
        <v>-95500</v>
      </c>
      <c r="W844" s="16">
        <f>U844+V844</f>
        <v>210000</v>
      </c>
      <c r="X844" s="122">
        <f>IF(U844=0," ",(W844-U844)/U844)</f>
        <v>-0.31260229132569556</v>
      </c>
      <c r="Z844" s="117">
        <v>210000</v>
      </c>
      <c r="AA844" s="117">
        <v>210000</v>
      </c>
      <c r="AC844" s="259" t="s">
        <v>708</v>
      </c>
      <c r="AE844" s="26">
        <v>210000</v>
      </c>
      <c r="AF844" s="200">
        <v>210000</v>
      </c>
      <c r="AH844" s="26">
        <v>210000</v>
      </c>
      <c r="AI844" s="244">
        <v>5000</v>
      </c>
      <c r="AJ844" s="16">
        <f>AH844+AI844</f>
        <v>215000</v>
      </c>
      <c r="AK844" s="122">
        <f>IF(AH844=0," ",(AJ844-AH844)/AH844)</f>
        <v>2.3809523809523808E-2</v>
      </c>
      <c r="AM844" s="117">
        <v>215000</v>
      </c>
      <c r="AN844" s="117">
        <v>215000</v>
      </c>
      <c r="AP844" s="259"/>
      <c r="AR844" s="26">
        <v>215000</v>
      </c>
      <c r="AS844" s="26">
        <v>215000</v>
      </c>
      <c r="AU844" s="26">
        <f t="shared" si="430"/>
        <v>215000</v>
      </c>
      <c r="AV844" s="244">
        <v>-95000</v>
      </c>
      <c r="AW844" s="16">
        <f t="shared" si="431"/>
        <v>120000</v>
      </c>
      <c r="AX844" s="122">
        <f t="shared" si="432"/>
        <v>-0.44186046511627908</v>
      </c>
      <c r="AZ844" s="117">
        <v>120000</v>
      </c>
      <c r="BA844" s="117">
        <v>120000</v>
      </c>
      <c r="BC844" s="259"/>
      <c r="BE844" s="26">
        <v>120000</v>
      </c>
      <c r="BF844" s="26">
        <v>120000</v>
      </c>
      <c r="BH844" s="26">
        <v>120000</v>
      </c>
      <c r="BI844" s="244">
        <v>-120000</v>
      </c>
      <c r="BJ844" s="16">
        <f t="shared" si="433"/>
        <v>0</v>
      </c>
      <c r="BK844" s="122">
        <f t="shared" si="434"/>
        <v>-1</v>
      </c>
      <c r="BM844" s="117">
        <v>0</v>
      </c>
      <c r="BN844" s="117">
        <v>0</v>
      </c>
      <c r="BP844" s="319"/>
      <c r="BR844" s="117">
        <v>0</v>
      </c>
      <c r="BS844" s="26"/>
      <c r="BU844" s="26">
        <v>0</v>
      </c>
      <c r="BV844" s="244"/>
      <c r="BW844" s="576">
        <f t="shared" si="435"/>
        <v>0</v>
      </c>
      <c r="BX844" s="577" t="str">
        <f t="shared" si="436"/>
        <v xml:space="preserve"> </v>
      </c>
      <c r="BZ844" s="166">
        <v>0</v>
      </c>
      <c r="CA844" s="166">
        <v>0</v>
      </c>
      <c r="CC844" s="753"/>
      <c r="CE844" s="166">
        <v>0</v>
      </c>
      <c r="CF844" s="166"/>
      <c r="CO844" s="16"/>
    </row>
    <row r="845" spans="1:93" x14ac:dyDescent="0.3">
      <c r="A845" s="11">
        <v>751</v>
      </c>
      <c r="B845" s="3" t="s">
        <v>2</v>
      </c>
      <c r="C845" s="37">
        <v>71005</v>
      </c>
      <c r="D845" s="37">
        <v>59112</v>
      </c>
      <c r="F845" s="3" t="s">
        <v>2</v>
      </c>
      <c r="G845" s="3" t="s">
        <v>645</v>
      </c>
      <c r="H845" s="26">
        <v>195000</v>
      </c>
      <c r="I845" s="244">
        <v>5000</v>
      </c>
      <c r="J845" s="16">
        <f>H845+I845</f>
        <v>200000</v>
      </c>
      <c r="K845" s="122">
        <f>IF(H845=0," ",(J845-H845)/H845)</f>
        <v>2.564102564102564E-2</v>
      </c>
      <c r="M845" s="117">
        <v>200000</v>
      </c>
      <c r="N845" s="117">
        <v>200000</v>
      </c>
      <c r="P845" s="259"/>
      <c r="R845" s="26">
        <v>200000</v>
      </c>
      <c r="S845" s="26">
        <v>200000</v>
      </c>
      <c r="U845" s="26">
        <v>200000</v>
      </c>
      <c r="V845" s="244">
        <v>10000</v>
      </c>
      <c r="W845" s="16">
        <f>U845+V845</f>
        <v>210000</v>
      </c>
      <c r="X845" s="122">
        <f>IF(U845=0," ",(W845-U845)/U845)</f>
        <v>0.05</v>
      </c>
      <c r="Z845" s="117">
        <v>210000</v>
      </c>
      <c r="AA845" s="117">
        <v>210000</v>
      </c>
      <c r="AC845" s="259" t="s">
        <v>708</v>
      </c>
      <c r="AE845" s="26">
        <v>210000</v>
      </c>
      <c r="AF845" s="200">
        <v>210000</v>
      </c>
      <c r="AH845" s="26">
        <v>210000</v>
      </c>
      <c r="AI845" s="244"/>
      <c r="AJ845" s="16">
        <f>AH845+AI845</f>
        <v>210000</v>
      </c>
      <c r="AK845" s="122">
        <f>IF(AH845=0," ",(AJ845-AH845)/AH845)</f>
        <v>0</v>
      </c>
      <c r="AM845" s="117">
        <v>210000</v>
      </c>
      <c r="AN845" s="117">
        <v>210000</v>
      </c>
      <c r="AP845" s="259"/>
      <c r="AR845" s="26">
        <v>210000</v>
      </c>
      <c r="AS845" s="26">
        <v>210000</v>
      </c>
      <c r="AU845" s="26">
        <f t="shared" si="430"/>
        <v>210000</v>
      </c>
      <c r="AV845" s="244">
        <v>-10000</v>
      </c>
      <c r="AW845" s="16">
        <f t="shared" si="431"/>
        <v>200000</v>
      </c>
      <c r="AX845" s="122">
        <f t="shared" si="432"/>
        <v>-4.7619047619047616E-2</v>
      </c>
      <c r="AZ845" s="117">
        <v>200000</v>
      </c>
      <c r="BA845" s="117">
        <v>200000</v>
      </c>
      <c r="BC845" s="259"/>
      <c r="BE845" s="26">
        <v>200000</v>
      </c>
      <c r="BF845" s="26">
        <v>200000</v>
      </c>
      <c r="BH845" s="26">
        <v>200000</v>
      </c>
      <c r="BI845" s="244"/>
      <c r="BJ845" s="16">
        <f t="shared" si="433"/>
        <v>200000</v>
      </c>
      <c r="BK845" s="122">
        <f t="shared" si="434"/>
        <v>0</v>
      </c>
      <c r="BM845" s="117">
        <v>200000</v>
      </c>
      <c r="BN845" s="117">
        <v>200000</v>
      </c>
      <c r="BP845" s="259"/>
      <c r="BR845" s="117">
        <v>200000</v>
      </c>
      <c r="BS845" s="26"/>
      <c r="BU845" s="26">
        <v>200000</v>
      </c>
      <c r="BV845" s="244">
        <v>-200000</v>
      </c>
      <c r="BW845" s="576">
        <f t="shared" si="435"/>
        <v>0</v>
      </c>
      <c r="BX845" s="577">
        <f t="shared" si="436"/>
        <v>-1</v>
      </c>
      <c r="BZ845" s="166">
        <v>0</v>
      </c>
      <c r="CA845" s="166">
        <v>0</v>
      </c>
      <c r="CC845" s="430" t="s">
        <v>1339</v>
      </c>
      <c r="CE845" s="166">
        <v>0</v>
      </c>
      <c r="CF845" s="166"/>
      <c r="CO845" s="16"/>
    </row>
    <row r="846" spans="1:93" x14ac:dyDescent="0.3">
      <c r="A846" s="11">
        <v>751</v>
      </c>
      <c r="C846" s="37">
        <v>71005</v>
      </c>
      <c r="D846" s="37">
        <v>59117</v>
      </c>
      <c r="G846" s="3" t="s">
        <v>644</v>
      </c>
      <c r="H846" s="26"/>
      <c r="I846" s="244"/>
      <c r="M846" s="117"/>
      <c r="N846" s="117"/>
      <c r="P846" s="259"/>
      <c r="R846" s="26"/>
      <c r="S846" s="26"/>
      <c r="U846" s="26"/>
      <c r="V846" s="244">
        <v>135500</v>
      </c>
      <c r="W846" s="16">
        <f>U846+V846</f>
        <v>135500</v>
      </c>
      <c r="Z846" s="117">
        <v>135500</v>
      </c>
      <c r="AA846" s="117">
        <v>135500</v>
      </c>
      <c r="AC846" s="259" t="s">
        <v>708</v>
      </c>
      <c r="AE846" s="26">
        <v>135500</v>
      </c>
      <c r="AF846" s="200">
        <v>135500</v>
      </c>
      <c r="AH846" s="26">
        <v>135500</v>
      </c>
      <c r="AI846" s="244">
        <v>14500</v>
      </c>
      <c r="AJ846" s="16">
        <f>AH846+AI846</f>
        <v>150000</v>
      </c>
      <c r="AK846" s="122">
        <f>IF(AH846=0," ",(AJ846-AH846)/AH846)</f>
        <v>0.1070110701107011</v>
      </c>
      <c r="AM846" s="117">
        <v>150000</v>
      </c>
      <c r="AN846" s="117">
        <v>150000</v>
      </c>
      <c r="AP846" s="259"/>
      <c r="AR846" s="26">
        <v>150000</v>
      </c>
      <c r="AS846" s="26">
        <v>150000</v>
      </c>
      <c r="AU846" s="26">
        <f t="shared" si="430"/>
        <v>150000</v>
      </c>
      <c r="AV846" s="244">
        <v>5000</v>
      </c>
      <c r="AW846" s="16">
        <f t="shared" si="431"/>
        <v>155000</v>
      </c>
      <c r="AX846" s="122">
        <f t="shared" si="432"/>
        <v>3.3333333333333333E-2</v>
      </c>
      <c r="AZ846" s="117">
        <v>155000</v>
      </c>
      <c r="BA846" s="117">
        <v>155000</v>
      </c>
      <c r="BC846" s="259"/>
      <c r="BE846" s="26">
        <v>155000</v>
      </c>
      <c r="BF846" s="26">
        <v>155000</v>
      </c>
      <c r="BH846" s="26">
        <v>155000</v>
      </c>
      <c r="BI846" s="244">
        <v>10000</v>
      </c>
      <c r="BJ846" s="16">
        <f t="shared" si="433"/>
        <v>165000</v>
      </c>
      <c r="BK846" s="122">
        <f t="shared" si="434"/>
        <v>6.4516129032258063E-2</v>
      </c>
      <c r="BM846" s="117">
        <v>165000</v>
      </c>
      <c r="BN846" s="117">
        <v>165000</v>
      </c>
      <c r="BP846" s="319"/>
      <c r="BR846" s="117">
        <v>165000</v>
      </c>
      <c r="BS846" s="26">
        <v>165000</v>
      </c>
      <c r="BU846" s="26">
        <v>165000</v>
      </c>
      <c r="BV846" s="244">
        <v>-10000</v>
      </c>
      <c r="BW846" s="576">
        <f t="shared" si="435"/>
        <v>155000</v>
      </c>
      <c r="BX846" s="577">
        <f t="shared" si="436"/>
        <v>-6.0606060606060608E-2</v>
      </c>
      <c r="BZ846" s="166">
        <v>155000</v>
      </c>
      <c r="CA846" s="166">
        <v>155000</v>
      </c>
      <c r="CC846" s="430" t="s">
        <v>1338</v>
      </c>
      <c r="CE846" s="166">
        <v>155000</v>
      </c>
      <c r="CF846" s="166"/>
      <c r="CO846" s="16"/>
    </row>
    <row r="847" spans="1:93" x14ac:dyDescent="0.3">
      <c r="A847" s="11">
        <v>751</v>
      </c>
      <c r="C847" s="37">
        <v>71005</v>
      </c>
      <c r="D847" s="35">
        <v>59119</v>
      </c>
      <c r="G847" s="287" t="s">
        <v>954</v>
      </c>
      <c r="H847" s="26"/>
      <c r="I847" s="244"/>
      <c r="M847" s="117"/>
      <c r="N847" s="117"/>
      <c r="P847" s="259"/>
      <c r="R847" s="26"/>
      <c r="S847" s="26"/>
      <c r="U847" s="26"/>
      <c r="V847" s="244"/>
      <c r="Z847" s="117"/>
      <c r="AA847" s="117"/>
      <c r="AC847" s="259"/>
      <c r="AE847" s="26"/>
      <c r="AF847" s="200"/>
      <c r="AH847" s="26"/>
      <c r="AI847" s="244">
        <v>150000</v>
      </c>
      <c r="AJ847" s="16">
        <f>AH847+AI847</f>
        <v>150000</v>
      </c>
      <c r="AK847" s="122" t="str">
        <f>IF(AH847=0," ",(AJ847-AH847)/AH847)</f>
        <v xml:space="preserve"> </v>
      </c>
      <c r="AM847" s="117">
        <v>191000</v>
      </c>
      <c r="AN847" s="117">
        <v>191000</v>
      </c>
      <c r="AP847" s="259"/>
      <c r="AR847" s="26">
        <v>191000</v>
      </c>
      <c r="AS847" s="26">
        <v>191000</v>
      </c>
      <c r="AU847" s="26">
        <f t="shared" si="430"/>
        <v>191000</v>
      </c>
      <c r="AV847" s="244">
        <v>9000</v>
      </c>
      <c r="AW847" s="16">
        <f t="shared" si="431"/>
        <v>200000</v>
      </c>
      <c r="AX847" s="122">
        <f t="shared" si="432"/>
        <v>4.712041884816754E-2</v>
      </c>
      <c r="AZ847" s="117">
        <v>200000</v>
      </c>
      <c r="BA847" s="117">
        <v>200000</v>
      </c>
      <c r="BC847" s="259"/>
      <c r="BE847" s="26">
        <v>200000</v>
      </c>
      <c r="BF847" s="26">
        <v>200000</v>
      </c>
      <c r="BH847" s="26">
        <v>200000</v>
      </c>
      <c r="BI847" s="244">
        <v>85000</v>
      </c>
      <c r="BJ847" s="16">
        <f t="shared" si="433"/>
        <v>285000</v>
      </c>
      <c r="BK847" s="122">
        <f t="shared" si="434"/>
        <v>0.42499999999999999</v>
      </c>
      <c r="BM847" s="117">
        <v>285000</v>
      </c>
      <c r="BN847" s="117">
        <v>285000</v>
      </c>
      <c r="BP847" s="319"/>
      <c r="BR847" s="117">
        <v>285000</v>
      </c>
      <c r="BS847" s="26"/>
      <c r="BU847" s="26">
        <v>285000</v>
      </c>
      <c r="BV847" s="244">
        <v>20000</v>
      </c>
      <c r="BW847" s="576">
        <f t="shared" si="435"/>
        <v>305000</v>
      </c>
      <c r="BX847" s="577">
        <f t="shared" si="436"/>
        <v>7.0175438596491224E-2</v>
      </c>
      <c r="BZ847" s="166">
        <v>305000</v>
      </c>
      <c r="CA847" s="166">
        <v>305000</v>
      </c>
      <c r="CC847" s="430" t="s">
        <v>1340</v>
      </c>
      <c r="CE847" s="166">
        <v>305000</v>
      </c>
      <c r="CF847" s="166"/>
      <c r="CO847" s="16"/>
    </row>
    <row r="848" spans="1:93" x14ac:dyDescent="0.3">
      <c r="A848" s="11">
        <v>751</v>
      </c>
      <c r="C848" s="37">
        <v>71005</v>
      </c>
      <c r="D848" s="35">
        <v>59120</v>
      </c>
      <c r="G848" s="287" t="s">
        <v>953</v>
      </c>
      <c r="H848" s="26"/>
      <c r="I848" s="244"/>
      <c r="M848" s="117"/>
      <c r="N848" s="117"/>
      <c r="P848" s="259"/>
      <c r="R848" s="26"/>
      <c r="S848" s="26"/>
      <c r="U848" s="26"/>
      <c r="V848" s="244"/>
      <c r="Z848" s="117"/>
      <c r="AA848" s="117"/>
      <c r="AC848" s="259"/>
      <c r="AE848" s="26"/>
      <c r="AF848" s="200"/>
      <c r="AH848" s="26"/>
      <c r="AI848" s="244"/>
      <c r="AM848" s="117"/>
      <c r="AN848" s="117"/>
      <c r="AP848" s="259"/>
      <c r="AR848" s="26"/>
      <c r="AS848" s="26"/>
      <c r="AU848" s="26">
        <f t="shared" si="430"/>
        <v>0</v>
      </c>
      <c r="AV848" s="244">
        <v>120000</v>
      </c>
      <c r="AW848" s="16">
        <f t="shared" si="431"/>
        <v>120000</v>
      </c>
      <c r="AX848" s="122" t="str">
        <f t="shared" si="432"/>
        <v xml:space="preserve"> </v>
      </c>
      <c r="AZ848" s="117">
        <v>120000</v>
      </c>
      <c r="BA848" s="117">
        <v>120000</v>
      </c>
      <c r="BC848" s="259"/>
      <c r="BE848" s="26">
        <v>120000</v>
      </c>
      <c r="BF848" s="26">
        <v>120000</v>
      </c>
      <c r="BH848" s="26">
        <v>120000</v>
      </c>
      <c r="BI848" s="244">
        <v>5000</v>
      </c>
      <c r="BJ848" s="16">
        <f t="shared" si="433"/>
        <v>125000</v>
      </c>
      <c r="BK848" s="122">
        <f t="shared" si="434"/>
        <v>4.1666666666666664E-2</v>
      </c>
      <c r="BM848" s="117">
        <v>125000</v>
      </c>
      <c r="BN848" s="117">
        <v>125000</v>
      </c>
      <c r="BP848" s="319"/>
      <c r="BR848" s="117">
        <v>125000</v>
      </c>
      <c r="BS848" s="26">
        <v>125000</v>
      </c>
      <c r="BU848" s="26">
        <v>125000</v>
      </c>
      <c r="BV848" s="244">
        <v>5000</v>
      </c>
      <c r="BW848" s="576">
        <f t="shared" si="435"/>
        <v>130000</v>
      </c>
      <c r="BX848" s="577">
        <f t="shared" si="436"/>
        <v>0.04</v>
      </c>
      <c r="BZ848" s="166">
        <v>130000</v>
      </c>
      <c r="CA848" s="166">
        <v>130000</v>
      </c>
      <c r="CC848" s="430" t="s">
        <v>1341</v>
      </c>
      <c r="CE848" s="166">
        <v>130000</v>
      </c>
      <c r="CF848" s="166"/>
      <c r="CO848" s="16"/>
    </row>
    <row r="849" spans="1:93" s="1" customFormat="1" x14ac:dyDescent="0.3">
      <c r="A849" s="12"/>
      <c r="C849" s="35"/>
      <c r="D849" s="35"/>
      <c r="E849" s="47"/>
      <c r="H849" s="26"/>
      <c r="I849" s="26"/>
      <c r="J849" s="26"/>
      <c r="K849" s="125"/>
      <c r="M849" s="26"/>
      <c r="N849" s="26"/>
      <c r="P849" s="138"/>
      <c r="R849" s="26"/>
      <c r="S849" s="26"/>
      <c r="U849" s="26"/>
      <c r="V849" s="26"/>
      <c r="W849" s="26"/>
      <c r="X849" s="125"/>
      <c r="Z849" s="26"/>
      <c r="AA849" s="26"/>
      <c r="AC849" s="138"/>
      <c r="AE849" s="26"/>
      <c r="AF849" s="200"/>
      <c r="AH849" s="26"/>
      <c r="AI849" s="26"/>
      <c r="AJ849" s="26"/>
      <c r="AK849" s="125"/>
      <c r="AM849" s="26"/>
      <c r="AN849" s="26"/>
      <c r="AP849" s="138"/>
      <c r="AR849" s="26"/>
      <c r="AS849" s="26"/>
      <c r="AU849" s="26"/>
      <c r="AV849" s="26"/>
      <c r="AW849" s="26"/>
      <c r="AX849" s="125"/>
      <c r="AZ849" s="26"/>
      <c r="BA849" s="26"/>
      <c r="BC849" s="138"/>
      <c r="BE849" s="26"/>
      <c r="BF849" s="26"/>
      <c r="BH849" s="26"/>
      <c r="BI849" s="26"/>
      <c r="BJ849" s="26"/>
      <c r="BK849" s="125"/>
      <c r="BM849" s="26"/>
      <c r="BN849" s="26"/>
      <c r="BP849" s="138"/>
      <c r="BR849" s="26"/>
      <c r="BS849" s="26"/>
      <c r="BU849" s="26"/>
      <c r="BV849" s="26"/>
      <c r="BW849" s="589"/>
      <c r="BX849" s="592"/>
      <c r="BY849" s="573"/>
      <c r="BZ849" s="589"/>
      <c r="CA849" s="589"/>
      <c r="CB849" s="573"/>
      <c r="CC849" s="768"/>
      <c r="CD849" s="573"/>
      <c r="CE849" s="589"/>
      <c r="CF849" s="589"/>
      <c r="CH849" s="812"/>
      <c r="CI849" s="812"/>
      <c r="CJ849" s="886"/>
      <c r="CO849" s="16"/>
    </row>
    <row r="850" spans="1:93" x14ac:dyDescent="0.3">
      <c r="A850" s="11">
        <v>751</v>
      </c>
      <c r="B850" s="3" t="s">
        <v>2</v>
      </c>
      <c r="C850" s="37">
        <v>71005</v>
      </c>
      <c r="D850" s="37">
        <v>59211</v>
      </c>
      <c r="F850" s="3" t="s">
        <v>2</v>
      </c>
      <c r="G850" s="3" t="s">
        <v>791</v>
      </c>
      <c r="H850" s="26">
        <v>30989</v>
      </c>
      <c r="I850" s="244">
        <v>-6761.5</v>
      </c>
      <c r="J850" s="16">
        <f>H850+I850</f>
        <v>24227.5</v>
      </c>
      <c r="K850" s="122">
        <f>IF(H850=0," ",(J850-H850)/H850)</f>
        <v>-0.21819032559940624</v>
      </c>
      <c r="M850" s="117">
        <v>24228</v>
      </c>
      <c r="N850" s="117">
        <v>24228</v>
      </c>
      <c r="P850" s="259"/>
      <c r="R850" s="26">
        <v>24228</v>
      </c>
      <c r="S850" s="26">
        <v>24227.5</v>
      </c>
      <c r="U850" s="26">
        <v>24228</v>
      </c>
      <c r="V850" s="244">
        <v>-7638</v>
      </c>
      <c r="W850" s="16">
        <f>U850+V850</f>
        <v>16590</v>
      </c>
      <c r="X850" s="122">
        <f>IF(U850=0," ",(W850-U850)/U850)</f>
        <v>-0.31525507677067854</v>
      </c>
      <c r="Z850" s="117">
        <v>16590</v>
      </c>
      <c r="AA850" s="117">
        <v>16590</v>
      </c>
      <c r="AC850" s="259" t="s">
        <v>708</v>
      </c>
      <c r="AE850" s="26">
        <v>16590</v>
      </c>
      <c r="AF850" s="200">
        <v>16590</v>
      </c>
      <c r="AH850" s="26">
        <v>16590</v>
      </c>
      <c r="AI850" s="244">
        <v>-6300</v>
      </c>
      <c r="AJ850" s="16">
        <f>AH850+AI850</f>
        <v>10290</v>
      </c>
      <c r="AK850" s="122">
        <f>IF(AH850=0," ",(AJ850-AH850)/AH850)</f>
        <v>-0.379746835443038</v>
      </c>
      <c r="AM850" s="117">
        <v>10290</v>
      </c>
      <c r="AN850" s="117">
        <v>10290</v>
      </c>
      <c r="AP850" s="259"/>
      <c r="AR850" s="26">
        <v>10290</v>
      </c>
      <c r="AS850" s="26">
        <v>10290</v>
      </c>
      <c r="AU850" s="26">
        <f>AR850</f>
        <v>10290</v>
      </c>
      <c r="AV850" s="244">
        <v>-6450</v>
      </c>
      <c r="AW850" s="16">
        <f>AU850+AV850</f>
        <v>3840</v>
      </c>
      <c r="AX850" s="122">
        <f>IF(AU850=0," ",(AW850-AU850)/AU850)</f>
        <v>-0.62682215743440228</v>
      </c>
      <c r="AZ850" s="117">
        <v>3840</v>
      </c>
      <c r="BA850" s="117">
        <v>3840</v>
      </c>
      <c r="BC850" s="259"/>
      <c r="BE850" s="26">
        <v>3840</v>
      </c>
      <c r="BF850" s="26">
        <v>3840</v>
      </c>
      <c r="BH850" s="26">
        <v>3840</v>
      </c>
      <c r="BI850" s="244">
        <v>-3840</v>
      </c>
      <c r="BJ850" s="16">
        <f>BH850+BI850</f>
        <v>0</v>
      </c>
      <c r="BK850" s="122">
        <f>IF(BH850=0," ",(BJ850-BH850)/BH850)</f>
        <v>-1</v>
      </c>
      <c r="BM850" s="117">
        <v>0</v>
      </c>
      <c r="BN850" s="117">
        <v>0</v>
      </c>
      <c r="BP850" s="319"/>
      <c r="BR850" s="117">
        <v>0</v>
      </c>
      <c r="BS850" s="26"/>
      <c r="BU850" s="26">
        <v>0</v>
      </c>
      <c r="BV850" s="244"/>
      <c r="BW850" s="576">
        <f>BU850+BV850</f>
        <v>0</v>
      </c>
      <c r="BX850" s="577" t="str">
        <f>IF(BU850=0," ",(BW850-BU850)/BU850)</f>
        <v xml:space="preserve"> </v>
      </c>
      <c r="BZ850" s="166">
        <v>0</v>
      </c>
      <c r="CA850" s="166">
        <v>0</v>
      </c>
      <c r="CC850" s="753"/>
      <c r="CE850" s="166">
        <v>0</v>
      </c>
      <c r="CF850" s="166"/>
      <c r="CO850" s="16"/>
    </row>
    <row r="851" spans="1:93" s="1" customFormat="1" x14ac:dyDescent="0.3">
      <c r="A851" s="11">
        <v>751</v>
      </c>
      <c r="B851" s="3" t="s">
        <v>2</v>
      </c>
      <c r="C851" s="37">
        <v>71005</v>
      </c>
      <c r="D851" s="37">
        <v>59212</v>
      </c>
      <c r="E851" s="49"/>
      <c r="F851" s="3" t="s">
        <v>2</v>
      </c>
      <c r="G851" s="3" t="s">
        <v>790</v>
      </c>
      <c r="H851" s="26">
        <v>32450</v>
      </c>
      <c r="I851" s="244">
        <v>-5850</v>
      </c>
      <c r="J851" s="16">
        <f>H851+I851</f>
        <v>26600</v>
      </c>
      <c r="K851" s="122">
        <f>IF(H851=0," ",(J851-H851)/H851)</f>
        <v>-0.18027734976887519</v>
      </c>
      <c r="M851" s="117">
        <v>26600</v>
      </c>
      <c r="N851" s="117">
        <v>26600</v>
      </c>
      <c r="P851" s="259"/>
      <c r="R851" s="26">
        <v>26600</v>
      </c>
      <c r="S851" s="26">
        <v>26600</v>
      </c>
      <c r="U851" s="26">
        <v>26600</v>
      </c>
      <c r="V851" s="244">
        <v>-6000</v>
      </c>
      <c r="W851" s="16">
        <f>U851+V851</f>
        <v>20600</v>
      </c>
      <c r="X851" s="122">
        <f>IF(U851=0," ",(W851-U851)/U851)</f>
        <v>-0.22556390977443608</v>
      </c>
      <c r="Z851" s="117">
        <v>20600</v>
      </c>
      <c r="AA851" s="117">
        <v>20600</v>
      </c>
      <c r="AC851" s="259" t="s">
        <v>708</v>
      </c>
      <c r="AE851" s="26">
        <v>20600</v>
      </c>
      <c r="AF851" s="200">
        <v>20600</v>
      </c>
      <c r="AH851" s="26">
        <v>20600</v>
      </c>
      <c r="AI851" s="244">
        <v>-8400</v>
      </c>
      <c r="AJ851" s="16">
        <f>AH851+AI851</f>
        <v>12200</v>
      </c>
      <c r="AK851" s="122">
        <f>IF(AH851=0," ",(AJ851-AH851)/AH851)</f>
        <v>-0.40776699029126212</v>
      </c>
      <c r="AM851" s="117">
        <v>12200</v>
      </c>
      <c r="AN851" s="117">
        <v>12200</v>
      </c>
      <c r="AP851" s="259"/>
      <c r="AR851" s="26">
        <v>12200</v>
      </c>
      <c r="AS851" s="26">
        <v>12200</v>
      </c>
      <c r="AU851" s="26">
        <f>AR851</f>
        <v>12200</v>
      </c>
      <c r="AV851" s="244">
        <v>-4200</v>
      </c>
      <c r="AW851" s="16">
        <f>AU851+AV851</f>
        <v>8000</v>
      </c>
      <c r="AX851" s="122">
        <f>IF(AU851=0," ",(AW851-AU851)/AU851)</f>
        <v>-0.34426229508196721</v>
      </c>
      <c r="AZ851" s="117">
        <v>8000</v>
      </c>
      <c r="BA851" s="117">
        <v>8000</v>
      </c>
      <c r="BC851" s="259"/>
      <c r="BE851" s="26">
        <v>8000</v>
      </c>
      <c r="BF851" s="26">
        <v>8000</v>
      </c>
      <c r="BH851" s="26">
        <v>8000</v>
      </c>
      <c r="BI851" s="244">
        <v>-4000</v>
      </c>
      <c r="BJ851" s="16">
        <f>BH851+BI851</f>
        <v>4000</v>
      </c>
      <c r="BK851" s="122">
        <f>IF(BH851=0," ",(BJ851-BH851)/BH851)</f>
        <v>-0.5</v>
      </c>
      <c r="BM851" s="117">
        <v>4000</v>
      </c>
      <c r="BN851" s="117">
        <v>4000</v>
      </c>
      <c r="BP851" s="319"/>
      <c r="BR851" s="117">
        <v>4000</v>
      </c>
      <c r="BS851" s="26">
        <v>2000</v>
      </c>
      <c r="BU851" s="26">
        <v>4000</v>
      </c>
      <c r="BV851" s="244">
        <v>-4000</v>
      </c>
      <c r="BW851" s="576">
        <f>BU851+BV851</f>
        <v>0</v>
      </c>
      <c r="BX851" s="577">
        <f>IF(BU851=0," ",(BW851-BU851)/BU851)</f>
        <v>-1</v>
      </c>
      <c r="BY851" s="573"/>
      <c r="BZ851" s="166">
        <v>0</v>
      </c>
      <c r="CA851" s="166">
        <v>0</v>
      </c>
      <c r="CB851" s="573"/>
      <c r="CC851" s="430" t="s">
        <v>1339</v>
      </c>
      <c r="CD851" s="573"/>
      <c r="CE851" s="166">
        <v>0</v>
      </c>
      <c r="CF851" s="166"/>
      <c r="CH851" s="812"/>
      <c r="CI851" s="812"/>
      <c r="CJ851" s="886"/>
      <c r="CO851" s="16"/>
    </row>
    <row r="852" spans="1:93" s="1" customFormat="1" x14ac:dyDescent="0.3">
      <c r="A852" s="11">
        <v>751</v>
      </c>
      <c r="B852" s="3" t="s">
        <v>2</v>
      </c>
      <c r="C852" s="37">
        <v>71005</v>
      </c>
      <c r="D852" s="37">
        <v>59217</v>
      </c>
      <c r="E852" s="49"/>
      <c r="F852" s="3" t="s">
        <v>2</v>
      </c>
      <c r="G852" s="3" t="s">
        <v>789</v>
      </c>
      <c r="H852" s="26"/>
      <c r="I852" s="244"/>
      <c r="J852" s="16">
        <f>H852+I852</f>
        <v>0</v>
      </c>
      <c r="K852" s="122" t="str">
        <f>IF(H852=0," ",(J852-H852)/H852)</f>
        <v xml:space="preserve"> </v>
      </c>
      <c r="M852" s="117"/>
      <c r="N852" s="117"/>
      <c r="P852" s="259"/>
      <c r="R852" s="26"/>
      <c r="S852" s="26"/>
      <c r="U852" s="26"/>
      <c r="V852" s="244">
        <v>97377</v>
      </c>
      <c r="W852" s="16">
        <f>U852+V852</f>
        <v>97377</v>
      </c>
      <c r="X852" s="122" t="str">
        <f>IF(U852=0," ",(W852-U852)/U852)</f>
        <v xml:space="preserve"> </v>
      </c>
      <c r="Z852" s="117">
        <v>97377</v>
      </c>
      <c r="AA852" s="117">
        <v>97377</v>
      </c>
      <c r="AC852" s="259" t="s">
        <v>708</v>
      </c>
      <c r="AE852" s="26">
        <v>97377</v>
      </c>
      <c r="AF852" s="200">
        <v>97376.27</v>
      </c>
      <c r="AH852" s="26">
        <v>97377</v>
      </c>
      <c r="AI852" s="244">
        <v>-4283</v>
      </c>
      <c r="AJ852" s="16">
        <f>AH852+AI852</f>
        <v>93094</v>
      </c>
      <c r="AK852" s="122">
        <f>IF(AH852=0," ",(AJ852-AH852)/AH852)</f>
        <v>-4.3983692247656019E-2</v>
      </c>
      <c r="AM852" s="117">
        <v>93094</v>
      </c>
      <c r="AN852" s="117">
        <v>93094</v>
      </c>
      <c r="AP852" s="259"/>
      <c r="AR852" s="26">
        <v>93094</v>
      </c>
      <c r="AS852" s="26">
        <v>93093.74</v>
      </c>
      <c r="AU852" s="26">
        <f>AR852</f>
        <v>93094</v>
      </c>
      <c r="AV852" s="244">
        <v>-4576</v>
      </c>
      <c r="AW852" s="16">
        <f>AU852+AV852</f>
        <v>88518</v>
      </c>
      <c r="AX852" s="122">
        <f>IF(AU852=0," ",(AW852-AU852)/AU852)</f>
        <v>-4.9154617913077105E-2</v>
      </c>
      <c r="AZ852" s="117">
        <v>88518</v>
      </c>
      <c r="BA852" s="117">
        <v>88518</v>
      </c>
      <c r="BC852" s="259"/>
      <c r="BE852" s="26">
        <v>88518</v>
      </c>
      <c r="BF852" s="26">
        <v>88518.76</v>
      </c>
      <c r="BH852" s="26">
        <v>88518</v>
      </c>
      <c r="BI852" s="244">
        <v>-4799</v>
      </c>
      <c r="BJ852" s="16">
        <f>BH852+BI852</f>
        <v>83719</v>
      </c>
      <c r="BK852" s="122">
        <f>IF(BH852=0," ",(BJ852-BH852)/BH852)</f>
        <v>-5.4214961928647283E-2</v>
      </c>
      <c r="BM852" s="117">
        <v>83719</v>
      </c>
      <c r="BN852" s="117">
        <v>83719</v>
      </c>
      <c r="BP852" s="319"/>
      <c r="BR852" s="117">
        <v>83719</v>
      </c>
      <c r="BS852" s="26">
        <v>43096.88</v>
      </c>
      <c r="BU852" s="26">
        <v>83719</v>
      </c>
      <c r="BV852" s="244">
        <v>-5575</v>
      </c>
      <c r="BW852" s="576">
        <f>BU852+BV852</f>
        <v>78144</v>
      </c>
      <c r="BX852" s="577">
        <f>IF(BU852=0," ",(BW852-BU852)/BU852)</f>
        <v>-6.6591813089023996E-2</v>
      </c>
      <c r="BY852" s="573"/>
      <c r="BZ852" s="166">
        <v>78144</v>
      </c>
      <c r="CA852" s="166">
        <v>78144</v>
      </c>
      <c r="CB852" s="573"/>
      <c r="CC852" s="430" t="s">
        <v>1338</v>
      </c>
      <c r="CD852" s="573"/>
      <c r="CE852" s="166">
        <v>78144</v>
      </c>
      <c r="CF852" s="166"/>
      <c r="CH852" s="812"/>
      <c r="CI852" s="812"/>
      <c r="CJ852" s="886"/>
      <c r="CO852" s="16"/>
    </row>
    <row r="853" spans="1:93" s="1" customFormat="1" x14ac:dyDescent="0.3">
      <c r="A853" s="11">
        <v>751</v>
      </c>
      <c r="B853" s="3"/>
      <c r="C853" s="37">
        <v>71005</v>
      </c>
      <c r="D853" s="35">
        <v>59219</v>
      </c>
      <c r="E853" s="49"/>
      <c r="F853" s="3"/>
      <c r="G853" s="287" t="s">
        <v>955</v>
      </c>
      <c r="H853" s="26"/>
      <c r="I853" s="244"/>
      <c r="J853" s="16"/>
      <c r="K853" s="122"/>
      <c r="M853" s="117"/>
      <c r="N853" s="117"/>
      <c r="P853" s="259"/>
      <c r="R853" s="26"/>
      <c r="S853" s="26"/>
      <c r="U853" s="26"/>
      <c r="V853" s="244"/>
      <c r="W853" s="16"/>
      <c r="X853" s="122"/>
      <c r="Z853" s="117"/>
      <c r="AA853" s="117"/>
      <c r="AC853" s="259"/>
      <c r="AE853" s="26"/>
      <c r="AF853" s="200"/>
      <c r="AH853" s="26"/>
      <c r="AI853" s="244">
        <v>230000</v>
      </c>
      <c r="AJ853" s="16">
        <f>AH853+AI853</f>
        <v>230000</v>
      </c>
      <c r="AK853" s="122" t="str">
        <f>IF(AH853=0," ",(AJ853-AH853)/AH853)</f>
        <v xml:space="preserve"> </v>
      </c>
      <c r="AM853" s="117">
        <v>351513</v>
      </c>
      <c r="AN853" s="117">
        <v>351513</v>
      </c>
      <c r="AP853" s="259"/>
      <c r="AR853" s="26">
        <v>351513</v>
      </c>
      <c r="AS853" s="26">
        <v>411449</v>
      </c>
      <c r="AU853" s="26">
        <f>AR853</f>
        <v>351513</v>
      </c>
      <c r="AV853" s="244">
        <v>-9550</v>
      </c>
      <c r="AW853" s="16">
        <f>AU853+AV853</f>
        <v>341963</v>
      </c>
      <c r="AX853" s="122">
        <f>IF(AU853=0," ",(AW853-AU853)/AU853)</f>
        <v>-2.7168269736823389E-2</v>
      </c>
      <c r="AZ853" s="117">
        <v>341963</v>
      </c>
      <c r="BA853" s="117">
        <v>341963</v>
      </c>
      <c r="BC853" s="259"/>
      <c r="BE853" s="26">
        <v>341963</v>
      </c>
      <c r="BF853" s="26">
        <v>341962.5</v>
      </c>
      <c r="BH853" s="26">
        <v>341963</v>
      </c>
      <c r="BI853" s="244">
        <v>-10000</v>
      </c>
      <c r="BJ853" s="16">
        <f>BH853+BI853</f>
        <v>331963</v>
      </c>
      <c r="BK853" s="122">
        <f>IF(BH853=0," ",(BJ853-BH853)/BH853)</f>
        <v>-2.9242929790649866E-2</v>
      </c>
      <c r="BM853" s="117">
        <v>331963</v>
      </c>
      <c r="BN853" s="117">
        <v>331963</v>
      </c>
      <c r="BP853" s="319"/>
      <c r="BR853" s="117">
        <v>331963</v>
      </c>
      <c r="BS853" s="26">
        <v>165981.25</v>
      </c>
      <c r="BU853" s="26">
        <v>331963</v>
      </c>
      <c r="BV853" s="244">
        <v>-14250</v>
      </c>
      <c r="BW853" s="576">
        <f>BU853+BV853</f>
        <v>317713</v>
      </c>
      <c r="BX853" s="577">
        <f>IF(BU853=0," ",(BW853-BU853)/BU853)</f>
        <v>-4.2926470721134584E-2</v>
      </c>
      <c r="BY853" s="573"/>
      <c r="BZ853" s="166">
        <v>317713</v>
      </c>
      <c r="CA853" s="166">
        <v>317713</v>
      </c>
      <c r="CB853" s="573"/>
      <c r="CC853" s="430" t="s">
        <v>1338</v>
      </c>
      <c r="CD853" s="573"/>
      <c r="CE853" s="166">
        <v>317713</v>
      </c>
      <c r="CF853" s="166"/>
      <c r="CH853" s="812"/>
      <c r="CI853" s="812"/>
      <c r="CJ853" s="886"/>
      <c r="CO853" s="16"/>
    </row>
    <row r="854" spans="1:93" s="1" customFormat="1" x14ac:dyDescent="0.3">
      <c r="A854" s="11">
        <v>751</v>
      </c>
      <c r="B854" s="3"/>
      <c r="C854" s="37">
        <v>71005</v>
      </c>
      <c r="D854" s="35">
        <v>59220</v>
      </c>
      <c r="E854" s="49"/>
      <c r="F854" s="3"/>
      <c r="G854" s="287" t="s">
        <v>956</v>
      </c>
      <c r="H854" s="26"/>
      <c r="I854" s="244"/>
      <c r="J854" s="16"/>
      <c r="K854" s="122"/>
      <c r="M854" s="117"/>
      <c r="N854" s="117"/>
      <c r="P854" s="259"/>
      <c r="R854" s="26"/>
      <c r="S854" s="26"/>
      <c r="U854" s="26"/>
      <c r="V854" s="244"/>
      <c r="W854" s="16"/>
      <c r="X854" s="122"/>
      <c r="Z854" s="117"/>
      <c r="AA854" s="117"/>
      <c r="AC854" s="259"/>
      <c r="AE854" s="26"/>
      <c r="AF854" s="200"/>
      <c r="AH854" s="26"/>
      <c r="AI854" s="244"/>
      <c r="AJ854" s="16">
        <f>AH854+AI854</f>
        <v>0</v>
      </c>
      <c r="AK854" s="122" t="str">
        <f>IF(AH854=0," ",(AJ854-AH854)/AH854)</f>
        <v xml:space="preserve"> </v>
      </c>
      <c r="AM854" s="117"/>
      <c r="AN854" s="117"/>
      <c r="AP854" s="259"/>
      <c r="AR854" s="26"/>
      <c r="AS854" s="26">
        <v>53609.91</v>
      </c>
      <c r="AU854" s="26">
        <f>AR854</f>
        <v>0</v>
      </c>
      <c r="AV854" s="244">
        <v>121007</v>
      </c>
      <c r="AW854" s="16">
        <f>AU854+AV854</f>
        <v>121007</v>
      </c>
      <c r="AX854" s="122" t="str">
        <f>IF(AU854=0," ",(AW854-AU854)/AU854)</f>
        <v xml:space="preserve"> </v>
      </c>
      <c r="AZ854" s="117">
        <v>121007</v>
      </c>
      <c r="BA854" s="117">
        <v>121007</v>
      </c>
      <c r="BC854" s="259"/>
      <c r="BE854" s="26">
        <v>121007</v>
      </c>
      <c r="BF854" s="26">
        <v>121006.5</v>
      </c>
      <c r="BH854" s="26">
        <v>121007</v>
      </c>
      <c r="BI854" s="244">
        <v>-6125</v>
      </c>
      <c r="BJ854" s="16">
        <f>BH854+BI854</f>
        <v>114882</v>
      </c>
      <c r="BK854" s="122">
        <f>IF(BH854=0," ",(BJ854-BH854)/BH854)</f>
        <v>-5.061690645995686E-2</v>
      </c>
      <c r="BM854" s="117">
        <v>114882</v>
      </c>
      <c r="BN854" s="117">
        <v>114882</v>
      </c>
      <c r="BP854" s="319"/>
      <c r="BR854" s="117">
        <v>114882</v>
      </c>
      <c r="BS854" s="26">
        <v>59003.25</v>
      </c>
      <c r="BU854" s="26">
        <v>114882</v>
      </c>
      <c r="BV854" s="244">
        <v>-6375</v>
      </c>
      <c r="BW854" s="576">
        <f>BU854+BV854</f>
        <v>108507</v>
      </c>
      <c r="BX854" s="577">
        <f>IF(BU854=0," ",(BW854-BU854)/BU854)</f>
        <v>-5.5491721940774015E-2</v>
      </c>
      <c r="BY854" s="573"/>
      <c r="BZ854" s="166">
        <v>108507</v>
      </c>
      <c r="CA854" s="166">
        <v>108507</v>
      </c>
      <c r="CB854" s="573"/>
      <c r="CC854" s="430" t="s">
        <v>1338</v>
      </c>
      <c r="CD854" s="573"/>
      <c r="CE854" s="166">
        <v>108507</v>
      </c>
      <c r="CF854" s="166"/>
      <c r="CH854" s="812"/>
      <c r="CI854" s="812"/>
      <c r="CJ854" s="886"/>
      <c r="CO854" s="16"/>
    </row>
    <row r="855" spans="1:93" x14ac:dyDescent="0.3">
      <c r="A855" s="12"/>
      <c r="B855" s="1"/>
      <c r="C855" s="35"/>
      <c r="D855" s="35"/>
      <c r="E855" s="47"/>
      <c r="F855" s="1"/>
      <c r="G855" s="1"/>
      <c r="H855" s="26"/>
      <c r="I855" s="26"/>
      <c r="J855" s="26"/>
      <c r="K855" s="125"/>
      <c r="M855" s="26"/>
      <c r="N855" s="26"/>
      <c r="P855" s="138"/>
      <c r="R855" s="26"/>
      <c r="S855" s="26"/>
      <c r="U855" s="26"/>
      <c r="V855" s="26"/>
      <c r="W855" s="26"/>
      <c r="X855" s="125"/>
      <c r="Z855" s="26"/>
      <c r="AA855" s="26"/>
      <c r="AC855" s="138"/>
      <c r="AE855" s="26"/>
      <c r="AF855" s="200"/>
      <c r="AH855" s="26"/>
      <c r="AI855" s="26"/>
      <c r="AJ855" s="26"/>
      <c r="AK855" s="125"/>
      <c r="AM855" s="26"/>
      <c r="AN855" s="26"/>
      <c r="AP855" s="138"/>
      <c r="AR855" s="26"/>
      <c r="AS855" s="26"/>
      <c r="AU855" s="26"/>
      <c r="AV855" s="26"/>
      <c r="AW855" s="26"/>
      <c r="AX855" s="125"/>
      <c r="AZ855" s="26"/>
      <c r="BA855" s="26"/>
      <c r="BC855" s="138"/>
      <c r="BE855" s="26"/>
      <c r="BF855" s="26"/>
      <c r="BH855" s="26"/>
      <c r="BI855" s="26"/>
      <c r="BJ855" s="26"/>
      <c r="BK855" s="125"/>
      <c r="BM855" s="26"/>
      <c r="BN855" s="26"/>
      <c r="BP855" s="138"/>
      <c r="BR855" s="26"/>
      <c r="BS855" s="26"/>
      <c r="BU855" s="26"/>
      <c r="BV855" s="26"/>
      <c r="BW855" s="589"/>
      <c r="BX855" s="592"/>
      <c r="BZ855" s="589"/>
      <c r="CA855" s="589"/>
      <c r="CC855" s="768"/>
      <c r="CE855" s="589"/>
      <c r="CF855" s="589"/>
      <c r="CO855" s="16"/>
    </row>
    <row r="856" spans="1:93" s="1" customFormat="1" x14ac:dyDescent="0.3">
      <c r="A856" s="11">
        <v>751</v>
      </c>
      <c r="B856" s="3" t="s">
        <v>2</v>
      </c>
      <c r="C856" s="37">
        <v>75105</v>
      </c>
      <c r="D856" s="37">
        <v>59500</v>
      </c>
      <c r="E856" s="49"/>
      <c r="F856" s="3" t="s">
        <v>2</v>
      </c>
      <c r="G856" s="3" t="s">
        <v>13</v>
      </c>
      <c r="H856" s="26">
        <v>18047</v>
      </c>
      <c r="I856" s="244">
        <v>436328.54</v>
      </c>
      <c r="J856" s="16">
        <f>H856+I856</f>
        <v>454375.54</v>
      </c>
      <c r="K856" s="122">
        <f>IF(H856=0," ",(J856-H856)/H856)</f>
        <v>24.177344711032305</v>
      </c>
      <c r="M856" s="117">
        <f>54375.54+275000+100000+0.46</f>
        <v>429376</v>
      </c>
      <c r="N856" s="117">
        <f>54375.54+275000+100000+0.46</f>
        <v>429376</v>
      </c>
      <c r="P856" s="259" t="s">
        <v>589</v>
      </c>
      <c r="R856" s="26">
        <f>54375.54+275000+100000+0.46</f>
        <v>429376</v>
      </c>
      <c r="S856" s="26">
        <v>192700.02</v>
      </c>
      <c r="U856" s="26">
        <f>54375.54+275000+100000+0.46</f>
        <v>429376</v>
      </c>
      <c r="V856" s="244">
        <v>47257</v>
      </c>
      <c r="W856" s="16">
        <f>U856+V856</f>
        <v>476633</v>
      </c>
      <c r="X856" s="122">
        <f>IF(U856=0," ",(W856-U856)/U856)</f>
        <v>0.11005971456252794</v>
      </c>
      <c r="Z856" s="117">
        <v>476633</v>
      </c>
      <c r="AA856" s="117">
        <v>447000</v>
      </c>
      <c r="AC856" s="259" t="s">
        <v>730</v>
      </c>
      <c r="AE856" s="26">
        <v>447000</v>
      </c>
      <c r="AF856" s="200">
        <v>404495.56</v>
      </c>
      <c r="AH856" s="26">
        <v>447000</v>
      </c>
      <c r="AI856" s="244">
        <v>-47000</v>
      </c>
      <c r="AJ856" s="16">
        <f>AH856+AI856</f>
        <v>400000</v>
      </c>
      <c r="AK856" s="122">
        <f>IF(AH856=0," ",(AJ856-AH856)/AH856)</f>
        <v>-0.10514541387024609</v>
      </c>
      <c r="AM856" s="117">
        <v>200000</v>
      </c>
      <c r="AN856" s="117">
        <v>200000</v>
      </c>
      <c r="AP856" s="259"/>
      <c r="AR856" s="26">
        <v>200000</v>
      </c>
      <c r="AS856" s="26">
        <v>0</v>
      </c>
      <c r="AU856" s="26">
        <f>AR856</f>
        <v>200000</v>
      </c>
      <c r="AV856" s="244">
        <v>-190000</v>
      </c>
      <c r="AW856" s="16">
        <f>AU856+AV856</f>
        <v>10000</v>
      </c>
      <c r="AX856" s="122">
        <f>IF(AU856=0," ",(AW856-AU856)/AU856)</f>
        <v>-0.95</v>
      </c>
      <c r="AZ856" s="117">
        <v>10000</v>
      </c>
      <c r="BA856" s="117">
        <v>10000</v>
      </c>
      <c r="BC856" s="259" t="s">
        <v>1044</v>
      </c>
      <c r="BE856" s="26">
        <v>10000</v>
      </c>
      <c r="BF856" s="26"/>
      <c r="BH856" s="26">
        <v>10000</v>
      </c>
      <c r="BI856" s="244">
        <v>-10000</v>
      </c>
      <c r="BJ856" s="16">
        <f>BH856+BI856</f>
        <v>0</v>
      </c>
      <c r="BK856" s="122">
        <f>IF(BH856=0," ",(BJ856-BH856)/BH856)</f>
        <v>-1</v>
      </c>
      <c r="BM856" s="117">
        <v>0</v>
      </c>
      <c r="BN856" s="117"/>
      <c r="BP856" s="319"/>
      <c r="BR856" s="117"/>
      <c r="BS856" s="26"/>
      <c r="BU856" s="26"/>
      <c r="BV856" s="244"/>
      <c r="BW856" s="576">
        <f>BU856+BV856</f>
        <v>0</v>
      </c>
      <c r="BX856" s="577" t="str">
        <f>IF(BU856=0," ",(BW856-BU856)/BU856)</f>
        <v xml:space="preserve"> </v>
      </c>
      <c r="BY856" s="573"/>
      <c r="BZ856" s="166">
        <v>0</v>
      </c>
      <c r="CA856" s="166">
        <v>0</v>
      </c>
      <c r="CB856" s="573"/>
      <c r="CC856" s="753"/>
      <c r="CD856" s="573"/>
      <c r="CE856" s="166">
        <v>0</v>
      </c>
      <c r="CF856" s="166"/>
      <c r="CH856" s="812"/>
      <c r="CI856" s="812"/>
      <c r="CJ856" s="886"/>
      <c r="CO856" s="16"/>
    </row>
    <row r="857" spans="1:93" x14ac:dyDescent="0.3">
      <c r="A857" s="12"/>
      <c r="B857" s="1"/>
      <c r="C857" s="35"/>
      <c r="D857" s="35"/>
      <c r="E857" s="47"/>
      <c r="F857" s="1"/>
      <c r="G857" s="1"/>
      <c r="H857" s="26"/>
      <c r="I857" s="26"/>
      <c r="J857" s="26"/>
      <c r="K857" s="125"/>
      <c r="M857" s="26"/>
      <c r="N857" s="26"/>
      <c r="P857" s="138"/>
      <c r="R857" s="26"/>
      <c r="S857" s="26"/>
      <c r="U857" s="26"/>
      <c r="V857" s="26"/>
      <c r="W857" s="26"/>
      <c r="X857" s="125"/>
      <c r="Z857" s="26"/>
      <c r="AA857" s="26"/>
      <c r="AC857" s="138"/>
      <c r="AE857" s="26"/>
      <c r="AF857" s="200"/>
      <c r="AH857" s="26"/>
      <c r="AI857" s="26"/>
      <c r="AJ857" s="26"/>
      <c r="AK857" s="125"/>
      <c r="AM857" s="26"/>
      <c r="AN857" s="26"/>
      <c r="AP857" s="138"/>
      <c r="AR857" s="26"/>
      <c r="AS857" s="26"/>
      <c r="AU857" s="26"/>
      <c r="AV857" s="26"/>
      <c r="AW857" s="26"/>
      <c r="AX857" s="125"/>
      <c r="AZ857" s="26"/>
      <c r="BA857" s="26"/>
      <c r="BC857" s="138"/>
      <c r="BE857" s="26"/>
      <c r="BF857" s="26"/>
      <c r="BH857" s="26"/>
      <c r="BI857" s="26"/>
      <c r="BJ857" s="26"/>
      <c r="BK857" s="125"/>
      <c r="BM857" s="26"/>
      <c r="BN857" s="26"/>
      <c r="BP857" s="138"/>
      <c r="BR857" s="26"/>
      <c r="BS857" s="26"/>
      <c r="BU857" s="26"/>
      <c r="BV857" s="26"/>
      <c r="BW857" s="589"/>
      <c r="BX857" s="592"/>
      <c r="BZ857" s="589"/>
      <c r="CA857" s="589"/>
      <c r="CC857" s="768"/>
      <c r="CE857" s="589"/>
      <c r="CF857" s="589"/>
      <c r="CO857" s="16"/>
    </row>
    <row r="858" spans="1:93" x14ac:dyDescent="0.3">
      <c r="A858" s="11">
        <v>752</v>
      </c>
      <c r="B858" s="3" t="s">
        <v>2</v>
      </c>
      <c r="C858" s="37">
        <v>75205</v>
      </c>
      <c r="F858" s="3" t="s">
        <v>2</v>
      </c>
      <c r="G858" s="3" t="s">
        <v>14</v>
      </c>
      <c r="H858" s="26">
        <v>74000</v>
      </c>
      <c r="I858" s="244">
        <v>-74000</v>
      </c>
      <c r="J858" s="16">
        <f>H858+I858</f>
        <v>0</v>
      </c>
      <c r="K858" s="122">
        <f>IF(H858=0," ",(J858-H858)/H858)</f>
        <v>-1</v>
      </c>
      <c r="M858" s="117">
        <v>0</v>
      </c>
      <c r="N858" s="117">
        <v>0</v>
      </c>
      <c r="P858" s="259"/>
      <c r="R858" s="26">
        <v>0</v>
      </c>
      <c r="S858" s="26">
        <v>0</v>
      </c>
      <c r="U858" s="26">
        <v>0</v>
      </c>
      <c r="V858" s="244"/>
      <c r="W858" s="16">
        <f>U858+V858</f>
        <v>0</v>
      </c>
      <c r="X858" s="122" t="str">
        <f>IF(U858=0," ",(W858-U858)/U858)</f>
        <v xml:space="preserve"> </v>
      </c>
      <c r="Z858" s="117">
        <v>0</v>
      </c>
      <c r="AA858" s="117">
        <v>0</v>
      </c>
      <c r="AC858" s="259"/>
      <c r="AE858" s="26">
        <v>0</v>
      </c>
      <c r="AF858" s="200">
        <v>0</v>
      </c>
      <c r="AH858" s="26">
        <v>0</v>
      </c>
      <c r="AI858" s="244"/>
      <c r="AJ858" s="16">
        <f>AH858+AI858</f>
        <v>0</v>
      </c>
      <c r="AK858" s="122" t="str">
        <f>IF(AH858=0," ",(AJ858-AH858)/AH858)</f>
        <v xml:space="preserve"> </v>
      </c>
      <c r="AM858" s="117"/>
      <c r="AN858" s="117"/>
      <c r="AP858" s="259"/>
      <c r="AR858" s="26"/>
      <c r="AS858" s="26"/>
      <c r="AU858" s="26">
        <f>AR858</f>
        <v>0</v>
      </c>
      <c r="AV858" s="244"/>
      <c r="AW858" s="16">
        <f>AU858+AV858</f>
        <v>0</v>
      </c>
      <c r="AX858" s="122" t="str">
        <f>IF(AU858=0," ",(AW858-AU858)/AU858)</f>
        <v xml:space="preserve"> </v>
      </c>
      <c r="AZ858" s="117"/>
      <c r="BA858" s="117"/>
      <c r="BC858" s="259"/>
      <c r="BE858" s="26"/>
      <c r="BF858" s="26"/>
      <c r="BH858" s="26"/>
      <c r="BI858" s="244"/>
      <c r="BJ858" s="16">
        <f>BH858+BI858</f>
        <v>0</v>
      </c>
      <c r="BK858" s="122" t="str">
        <f>IF(BH858=0," ",(BJ858-BH858)/BH858)</f>
        <v xml:space="preserve"> </v>
      </c>
      <c r="BM858" s="117">
        <v>0</v>
      </c>
      <c r="BN858" s="117"/>
      <c r="BP858" s="259"/>
      <c r="BR858" s="117"/>
      <c r="BS858" s="26"/>
      <c r="BU858" s="26"/>
      <c r="BV858" s="244"/>
      <c r="BW858" s="576">
        <f>BU858+BV858</f>
        <v>0</v>
      </c>
      <c r="BX858" s="577" t="str">
        <f>IF(BU858=0," ",(BW858-BU858)/BU858)</f>
        <v xml:space="preserve"> </v>
      </c>
      <c r="BZ858" s="166">
        <v>0</v>
      </c>
      <c r="CA858" s="166">
        <v>0</v>
      </c>
      <c r="CC858" s="753"/>
      <c r="CE858" s="166">
        <v>0</v>
      </c>
      <c r="CF858" s="166"/>
      <c r="CO858" s="16"/>
    </row>
    <row r="859" spans="1:93" x14ac:dyDescent="0.3">
      <c r="A859" s="11">
        <v>752</v>
      </c>
      <c r="C859" s="37">
        <v>75205</v>
      </c>
      <c r="G859" s="3" t="s">
        <v>577</v>
      </c>
      <c r="H859" s="26"/>
      <c r="I859" s="244">
        <v>19000</v>
      </c>
      <c r="J859" s="16">
        <f>H859+I859</f>
        <v>19000</v>
      </c>
      <c r="M859" s="117">
        <v>19000</v>
      </c>
      <c r="N859" s="117">
        <v>19000</v>
      </c>
      <c r="P859" s="259"/>
      <c r="R859" s="26">
        <v>19000</v>
      </c>
      <c r="S859" s="26">
        <v>19000</v>
      </c>
      <c r="U859" s="26">
        <v>19000</v>
      </c>
      <c r="V859" s="244">
        <v>-19000</v>
      </c>
      <c r="W859" s="16">
        <f>U859+V859</f>
        <v>0</v>
      </c>
      <c r="Z859" s="117">
        <v>0</v>
      </c>
      <c r="AA859" s="117">
        <v>0</v>
      </c>
      <c r="AC859" s="259"/>
      <c r="AE859" s="26">
        <v>0</v>
      </c>
      <c r="AF859" s="200">
        <v>0</v>
      </c>
      <c r="AH859" s="26">
        <v>0</v>
      </c>
      <c r="AI859" s="244"/>
      <c r="AJ859" s="16">
        <f>AH859+AI859</f>
        <v>0</v>
      </c>
      <c r="AM859" s="117"/>
      <c r="AN859" s="117"/>
      <c r="AP859" s="259"/>
      <c r="AR859" s="26"/>
      <c r="AS859" s="26"/>
      <c r="AU859" s="26">
        <f>AR859</f>
        <v>0</v>
      </c>
      <c r="AV859" s="244"/>
      <c r="AW859" s="16">
        <f>AU859+AV859</f>
        <v>0</v>
      </c>
      <c r="AZ859" s="117"/>
      <c r="BA859" s="117"/>
      <c r="BC859" s="259"/>
      <c r="BE859" s="26"/>
      <c r="BF859" s="26"/>
      <c r="BH859" s="26"/>
      <c r="BI859" s="244"/>
      <c r="BJ859" s="16">
        <f>BH859+BI859</f>
        <v>0</v>
      </c>
      <c r="BM859" s="117">
        <v>0</v>
      </c>
      <c r="BN859" s="117"/>
      <c r="BP859" s="259"/>
      <c r="BR859" s="117"/>
      <c r="BS859" s="26"/>
      <c r="BU859" s="26"/>
      <c r="BV859" s="244"/>
      <c r="BW859" s="576">
        <f>BU859+BV859</f>
        <v>0</v>
      </c>
      <c r="BZ859" s="166">
        <v>0</v>
      </c>
      <c r="CA859" s="166">
        <v>0</v>
      </c>
      <c r="CC859" s="753"/>
      <c r="CE859" s="166">
        <v>0</v>
      </c>
      <c r="CF859" s="166"/>
      <c r="CO859" s="16"/>
    </row>
    <row r="860" spans="1:93" x14ac:dyDescent="0.3">
      <c r="A860" s="11">
        <v>752</v>
      </c>
      <c r="B860" s="3" t="s">
        <v>2</v>
      </c>
      <c r="C860" s="37">
        <v>75205</v>
      </c>
      <c r="F860" s="3" t="s">
        <v>2</v>
      </c>
      <c r="G860" s="3" t="s">
        <v>15</v>
      </c>
      <c r="H860" s="26">
        <v>0</v>
      </c>
      <c r="I860" s="244">
        <v>27000</v>
      </c>
      <c r="J860" s="16">
        <f>H860+I860</f>
        <v>27000</v>
      </c>
      <c r="K860" s="122" t="str">
        <f>IF(H860=0," ",(J860-H860)/H860)</f>
        <v xml:space="preserve"> </v>
      </c>
      <c r="M860" s="117">
        <v>27000</v>
      </c>
      <c r="N860" s="117">
        <v>27000</v>
      </c>
      <c r="P860" s="259"/>
      <c r="R860" s="26">
        <v>27000</v>
      </c>
      <c r="S860" s="26">
        <v>27000</v>
      </c>
      <c r="U860" s="26">
        <v>27000</v>
      </c>
      <c r="V860" s="244">
        <v>-27000</v>
      </c>
      <c r="W860" s="16">
        <f>U860+V860</f>
        <v>0</v>
      </c>
      <c r="X860" s="122">
        <f>IF(U860=0," ",(W860-U860)/U860)</f>
        <v>-1</v>
      </c>
      <c r="Z860" s="117">
        <v>0</v>
      </c>
      <c r="AA860" s="117">
        <v>0</v>
      </c>
      <c r="AC860" s="259"/>
      <c r="AE860" s="26">
        <v>0</v>
      </c>
      <c r="AF860" s="200">
        <v>0</v>
      </c>
      <c r="AH860" s="26">
        <v>0</v>
      </c>
      <c r="AI860" s="244"/>
      <c r="AJ860" s="16">
        <f>AH860+AI860</f>
        <v>0</v>
      </c>
      <c r="AK860" s="122" t="str">
        <f>IF(AH860=0," ",(AJ860-AH860)/AH860)</f>
        <v xml:space="preserve"> </v>
      </c>
      <c r="AM860" s="117"/>
      <c r="AN860" s="117"/>
      <c r="AP860" s="259"/>
      <c r="AR860" s="26"/>
      <c r="AS860" s="26"/>
      <c r="AU860" s="26">
        <f>AR860</f>
        <v>0</v>
      </c>
      <c r="AV860" s="244"/>
      <c r="AW860" s="16">
        <f>AU860+AV860</f>
        <v>0</v>
      </c>
      <c r="AX860" s="122" t="str">
        <f>IF(AU860=0," ",(AW860-AU860)/AU860)</f>
        <v xml:space="preserve"> </v>
      </c>
      <c r="AZ860" s="117"/>
      <c r="BA860" s="117"/>
      <c r="BC860" s="259"/>
      <c r="BE860" s="26"/>
      <c r="BF860" s="26"/>
      <c r="BH860" s="26"/>
      <c r="BI860" s="244"/>
      <c r="BJ860" s="16">
        <f>BH860+BI860</f>
        <v>0</v>
      </c>
      <c r="BK860" s="122" t="str">
        <f>IF(BH860=0," ",(BJ860-BH860)/BH860)</f>
        <v xml:space="preserve"> </v>
      </c>
      <c r="BM860" s="117">
        <v>0</v>
      </c>
      <c r="BN860" s="117"/>
      <c r="BP860" s="259"/>
      <c r="BR860" s="117"/>
      <c r="BS860" s="26"/>
      <c r="BU860" s="26"/>
      <c r="BV860" s="244"/>
      <c r="BW860" s="576">
        <f>BU860+BV860</f>
        <v>0</v>
      </c>
      <c r="BX860" s="577" t="str">
        <f>IF(BU860=0," ",(BW860-BU860)/BU860)</f>
        <v xml:space="preserve"> </v>
      </c>
      <c r="BZ860" s="166">
        <v>0</v>
      </c>
      <c r="CA860" s="166">
        <v>0</v>
      </c>
      <c r="CC860" s="753"/>
      <c r="CE860" s="166">
        <v>0</v>
      </c>
      <c r="CF860" s="166"/>
      <c r="CO860" s="16"/>
    </row>
    <row r="861" spans="1:93" x14ac:dyDescent="0.3">
      <c r="A861" s="11">
        <v>752</v>
      </c>
      <c r="C861" s="37">
        <v>75205</v>
      </c>
      <c r="G861" s="3" t="s">
        <v>630</v>
      </c>
      <c r="H861" s="26"/>
      <c r="I861" s="244"/>
      <c r="M861" s="117"/>
      <c r="N861" s="185">
        <v>50000</v>
      </c>
      <c r="P861" s="259"/>
      <c r="R861" s="30">
        <v>50000</v>
      </c>
      <c r="S861" s="30">
        <v>50000</v>
      </c>
      <c r="U861" s="30">
        <v>50000</v>
      </c>
      <c r="V861" s="244">
        <v>-50000</v>
      </c>
      <c r="W861" s="16">
        <f>U861+V861</f>
        <v>0</v>
      </c>
      <c r="Z861" s="117">
        <v>0</v>
      </c>
      <c r="AA861" s="117">
        <v>0</v>
      </c>
      <c r="AC861" s="259"/>
      <c r="AE861" s="26">
        <v>0</v>
      </c>
      <c r="AF861" s="200">
        <v>0</v>
      </c>
      <c r="AH861" s="26">
        <v>0</v>
      </c>
      <c r="AI861" s="244"/>
      <c r="AJ861" s="16">
        <f>AH861+AI861</f>
        <v>0</v>
      </c>
      <c r="AM861" s="117"/>
      <c r="AN861" s="117"/>
      <c r="AP861" s="259"/>
      <c r="AR861" s="26"/>
      <c r="AS861" s="26"/>
      <c r="AU861" s="26">
        <f>AR861</f>
        <v>0</v>
      </c>
      <c r="AV861" s="244"/>
      <c r="AW861" s="16">
        <f>AU861+AV861</f>
        <v>0</v>
      </c>
      <c r="AZ861" s="117"/>
      <c r="BA861" s="117"/>
      <c r="BC861" s="259"/>
      <c r="BE861" s="26"/>
      <c r="BF861" s="26"/>
      <c r="BH861" s="26"/>
      <c r="BI861" s="244"/>
      <c r="BJ861" s="16">
        <f>BH861+BI861</f>
        <v>0</v>
      </c>
      <c r="BM861" s="117">
        <v>0</v>
      </c>
      <c r="BN861" s="117"/>
      <c r="BP861" s="259"/>
      <c r="BR861" s="117"/>
      <c r="BS861" s="26"/>
      <c r="BU861" s="26"/>
      <c r="BV861" s="244"/>
      <c r="BW861" s="576">
        <f>BU861+BV861</f>
        <v>0</v>
      </c>
      <c r="BZ861" s="166">
        <v>0</v>
      </c>
      <c r="CA861" s="166">
        <v>0</v>
      </c>
      <c r="CC861" s="753"/>
      <c r="CE861" s="166">
        <v>0</v>
      </c>
      <c r="CF861" s="166"/>
      <c r="CO861" s="16"/>
    </row>
    <row r="862" spans="1:93" x14ac:dyDescent="0.3">
      <c r="H862" s="26"/>
      <c r="R862" s="26"/>
      <c r="S862" s="26"/>
      <c r="U862" s="26"/>
      <c r="AE862" s="26"/>
      <c r="AF862" s="200"/>
      <c r="AH862" s="26"/>
      <c r="AR862" s="26"/>
      <c r="AS862" s="26"/>
      <c r="AU862" s="26"/>
      <c r="BE862" s="26"/>
      <c r="BF862" s="26"/>
      <c r="BH862" s="26"/>
      <c r="BM862" s="26"/>
      <c r="BN862" s="26"/>
      <c r="BR862" s="26"/>
      <c r="BS862" s="26"/>
      <c r="BU862" s="26"/>
      <c r="BZ862" s="589"/>
      <c r="CA862" s="589"/>
      <c r="CE862" s="589"/>
      <c r="CF862" s="589"/>
      <c r="CO862" s="16"/>
    </row>
    <row r="863" spans="1:93" s="19" customFormat="1" x14ac:dyDescent="0.3">
      <c r="A863" s="27"/>
      <c r="B863" s="8"/>
      <c r="C863" s="42"/>
      <c r="D863" s="42"/>
      <c r="E863" s="54"/>
      <c r="F863" s="8"/>
      <c r="G863" s="57" t="s">
        <v>349</v>
      </c>
      <c r="H863" s="28">
        <f>SUM(H843:H862)</f>
        <v>653486</v>
      </c>
      <c r="I863" s="28">
        <f>SUM(I843:I862)</f>
        <v>405717.04</v>
      </c>
      <c r="J863" s="28">
        <f>SUM(J843:J862)</f>
        <v>1059203.04</v>
      </c>
      <c r="K863" s="123">
        <f>IF(H863=0," ",(J863-H863)/H863)</f>
        <v>0.62085039312242352</v>
      </c>
      <c r="M863" s="28">
        <f>SUM(M843:M862)</f>
        <v>1034204</v>
      </c>
      <c r="N863" s="28">
        <f>SUM(N843:N862)</f>
        <v>1084204</v>
      </c>
      <c r="P863" s="139">
        <f>SUM(P850:P862)</f>
        <v>0</v>
      </c>
      <c r="R863" s="28">
        <f>SUM(R843:R862)</f>
        <v>1084204</v>
      </c>
      <c r="S863" s="28">
        <f>SUM(S843:S862)</f>
        <v>845277.52</v>
      </c>
      <c r="U863" s="28">
        <f>SUM(U843:U862)</f>
        <v>1084204</v>
      </c>
      <c r="V863" s="28">
        <f>SUM(V843:V862)</f>
        <v>84996</v>
      </c>
      <c r="W863" s="28">
        <f>SUM(W843:W862)</f>
        <v>1169200</v>
      </c>
      <c r="X863" s="123">
        <f>IF(U863=0," ",(W863-U863)/U863)</f>
        <v>7.8394840823313688E-2</v>
      </c>
      <c r="Z863" s="28">
        <f>SUM(Z843:Z862)</f>
        <v>1169200</v>
      </c>
      <c r="AA863" s="28">
        <f>SUM(AA843:AA862)</f>
        <v>1139567</v>
      </c>
      <c r="AC863" s="139"/>
      <c r="AE863" s="28">
        <f>SUM(AE843:AE862)</f>
        <v>1139567</v>
      </c>
      <c r="AF863" s="28">
        <f>SUM(AF843:AF862)</f>
        <v>1095061.83</v>
      </c>
      <c r="AH863" s="28">
        <f>SUM(AH843:AH862)</f>
        <v>1139567</v>
      </c>
      <c r="AI863" s="28">
        <f>SUM(AI843:AI862)</f>
        <v>333517</v>
      </c>
      <c r="AJ863" s="28">
        <f>SUM(AJ843:AJ862)</f>
        <v>1473084</v>
      </c>
      <c r="AK863" s="123">
        <f>IF(AH863=0," ",(AJ863-AH863)/AH863)</f>
        <v>0.29266993515958256</v>
      </c>
      <c r="AM863" s="28">
        <f>SUM(AM843:AM862)</f>
        <v>1435597</v>
      </c>
      <c r="AN863" s="28">
        <f>SUM(AN843:AN862)</f>
        <v>1435597</v>
      </c>
      <c r="AP863" s="139"/>
      <c r="AR863" s="28">
        <f>SUM(AR843:AR862)</f>
        <v>1435597</v>
      </c>
      <c r="AS863" s="28">
        <f>SUM(AS843:AS862)</f>
        <v>1347142.65</v>
      </c>
      <c r="AU863" s="28">
        <f>SUM(AU843:AU862)</f>
        <v>1435597</v>
      </c>
      <c r="AV863" s="28">
        <f>SUM(AV843:AV862)</f>
        <v>-64769</v>
      </c>
      <c r="AW863" s="28">
        <f>SUM(AW843:AW862)</f>
        <v>1370828</v>
      </c>
      <c r="AX863" s="123">
        <f>IF(AU863=0," ",(AW863-AU863)/AU863)</f>
        <v>-4.5116421948499477E-2</v>
      </c>
      <c r="AZ863" s="28">
        <f>SUM(AZ843:AZ862)</f>
        <v>1370828</v>
      </c>
      <c r="BA863" s="28">
        <f>SUM(BA843:BA862)</f>
        <v>1370828</v>
      </c>
      <c r="BC863" s="139"/>
      <c r="BE863" s="28">
        <f>SUM(BE843:BE862)</f>
        <v>1370828</v>
      </c>
      <c r="BF863" s="28">
        <f>SUM(BF843:BF862)</f>
        <v>1360327.76</v>
      </c>
      <c r="BG863" s="9"/>
      <c r="BH863" s="28">
        <f>SUM(BH843:BH862)</f>
        <v>1370828</v>
      </c>
      <c r="BI863" s="28">
        <f>SUM(BI843:BI862)</f>
        <v>-58764</v>
      </c>
      <c r="BJ863" s="28">
        <f>SUM(BJ843:BJ862)</f>
        <v>1312064</v>
      </c>
      <c r="BK863" s="123">
        <f>IF(BH863=0," ",(BJ863-BH863)/BH863)</f>
        <v>-4.2867522402518767E-2</v>
      </c>
      <c r="BM863" s="28">
        <f>SUM(BM843:BM862)</f>
        <v>1312064</v>
      </c>
      <c r="BN863" s="28">
        <f>SUM(BN843:BN862)</f>
        <v>1312064</v>
      </c>
      <c r="BP863" s="139"/>
      <c r="BR863" s="28">
        <f>SUM(BR843:BR862)</f>
        <v>1312064</v>
      </c>
      <c r="BS863" s="28">
        <f>SUM(BS843:BS862)</f>
        <v>560081.38</v>
      </c>
      <c r="BT863" s="9"/>
      <c r="BU863" s="28">
        <f>SUM(BU843:BU862)</f>
        <v>1312064</v>
      </c>
      <c r="BV863" s="532">
        <f>SUM(BV843:BV862)</f>
        <v>-215200</v>
      </c>
      <c r="BW863" s="591">
        <f>SUM(BW843:BW862)</f>
        <v>1096864</v>
      </c>
      <c r="BX863" s="579">
        <f>IF(BU863=0," ",(BW863-BU863)/BU863)</f>
        <v>-0.16401638944441735</v>
      </c>
      <c r="BY863" s="580"/>
      <c r="BZ863" s="591">
        <f>SUM(BZ843:BZ862)</f>
        <v>1096864</v>
      </c>
      <c r="CA863" s="591">
        <f>SUM(CA843:CA862)</f>
        <v>1096864</v>
      </c>
      <c r="CB863" s="580"/>
      <c r="CC863" s="769"/>
      <c r="CD863" s="580"/>
      <c r="CE863" s="591">
        <f>SUM(CE843:CE862)</f>
        <v>1096864</v>
      </c>
      <c r="CF863" s="591">
        <f>SUM(CF843:CF862)</f>
        <v>0</v>
      </c>
      <c r="CG863" s="9"/>
      <c r="CH863" s="815"/>
      <c r="CI863" s="815"/>
      <c r="CJ863" s="890"/>
      <c r="CO863" s="16"/>
    </row>
    <row r="864" spans="1:93" ht="9.9" customHeight="1" x14ac:dyDescent="0.3">
      <c r="F864" s="3" t="s">
        <v>900</v>
      </c>
      <c r="AS864" s="16"/>
      <c r="CO864" s="16"/>
    </row>
    <row r="865" spans="1:93" s="1" customFormat="1" x14ac:dyDescent="0.3">
      <c r="A865" s="20"/>
      <c r="B865" s="5"/>
      <c r="C865" s="39"/>
      <c r="D865" s="39"/>
      <c r="E865" s="51"/>
      <c r="F865" s="5"/>
      <c r="G865" s="21" t="s">
        <v>350</v>
      </c>
      <c r="H865" s="22">
        <f t="shared" ref="H865" si="437">H863</f>
        <v>653486</v>
      </c>
      <c r="I865" s="22">
        <f>I863</f>
        <v>405717.04</v>
      </c>
      <c r="J865" s="22">
        <f>J863</f>
        <v>1059203.04</v>
      </c>
      <c r="K865" s="124">
        <f>IF(H865=0," ",(J865-H865)/H865)</f>
        <v>0.62085039312242352</v>
      </c>
      <c r="M865" s="22">
        <f>M863</f>
        <v>1034204</v>
      </c>
      <c r="N865" s="22">
        <f>N863</f>
        <v>1084204</v>
      </c>
      <c r="P865" s="136">
        <f>P863</f>
        <v>0</v>
      </c>
      <c r="R865" s="22">
        <f>R863</f>
        <v>1084204</v>
      </c>
      <c r="S865" s="22">
        <f>S863</f>
        <v>845277.52</v>
      </c>
      <c r="U865" s="22">
        <f>U863</f>
        <v>1084204</v>
      </c>
      <c r="V865" s="22">
        <f>V863</f>
        <v>84996</v>
      </c>
      <c r="W865" s="22">
        <f>W863</f>
        <v>1169200</v>
      </c>
      <c r="X865" s="124">
        <f>IF(U865=0," ",(W865-U865)/U865)</f>
        <v>7.8394840823313688E-2</v>
      </c>
      <c r="Z865" s="22">
        <f>Z863</f>
        <v>1169200</v>
      </c>
      <c r="AA865" s="22">
        <f>AA863</f>
        <v>1139567</v>
      </c>
      <c r="AC865" s="136"/>
      <c r="AE865" s="22">
        <f>AE863</f>
        <v>1139567</v>
      </c>
      <c r="AF865" s="199">
        <f>AF863</f>
        <v>1095061.83</v>
      </c>
      <c r="AH865" s="22">
        <f>AH863</f>
        <v>1139567</v>
      </c>
      <c r="AI865" s="22">
        <f>AI863</f>
        <v>333517</v>
      </c>
      <c r="AJ865" s="22">
        <f>AJ863</f>
        <v>1473084</v>
      </c>
      <c r="AK865" s="124">
        <f>IF(AH865=0," ",(AJ865-AH865)/AH865)</f>
        <v>0.29266993515958256</v>
      </c>
      <c r="AM865" s="22">
        <f>AM863</f>
        <v>1435597</v>
      </c>
      <c r="AN865" s="22">
        <f>AN863</f>
        <v>1435597</v>
      </c>
      <c r="AP865" s="136"/>
      <c r="AR865" s="22">
        <f>AR863</f>
        <v>1435597</v>
      </c>
      <c r="AS865" s="22">
        <f>AS863</f>
        <v>1347142.65</v>
      </c>
      <c r="AU865" s="22">
        <f>AU863</f>
        <v>1435597</v>
      </c>
      <c r="AV865" s="22">
        <f>AV863</f>
        <v>-64769</v>
      </c>
      <c r="AW865" s="22">
        <f>AW863</f>
        <v>1370828</v>
      </c>
      <c r="AX865" s="124">
        <f>IF(AU865=0," ",(AW865-AU865)/AU865)</f>
        <v>-4.5116421948499477E-2</v>
      </c>
      <c r="AZ865" s="22">
        <f>AZ863</f>
        <v>1370828</v>
      </c>
      <c r="BA865" s="22">
        <f>BA863</f>
        <v>1370828</v>
      </c>
      <c r="BC865" s="136"/>
      <c r="BE865" s="22">
        <f>BE863</f>
        <v>1370828</v>
      </c>
      <c r="BF865" s="22">
        <f>BF863</f>
        <v>1360327.76</v>
      </c>
      <c r="BH865" s="22">
        <f>BH863</f>
        <v>1370828</v>
      </c>
      <c r="BI865" s="22">
        <f>BI863</f>
        <v>-58764</v>
      </c>
      <c r="BJ865" s="22">
        <f>BJ863</f>
        <v>1312064</v>
      </c>
      <c r="BK865" s="124">
        <f>IF(BH865=0," ",(BJ865-BH865)/BH865)</f>
        <v>-4.2867522402518767E-2</v>
      </c>
      <c r="BM865" s="22">
        <f>BM863</f>
        <v>1312064</v>
      </c>
      <c r="BN865" s="22">
        <f>BN863</f>
        <v>1312064</v>
      </c>
      <c r="BP865" s="136"/>
      <c r="BR865" s="22">
        <f>BR863</f>
        <v>1312064</v>
      </c>
      <c r="BS865" s="22">
        <f>BS863</f>
        <v>560081.38</v>
      </c>
      <c r="BU865" s="22">
        <f>BU863</f>
        <v>1312064</v>
      </c>
      <c r="BV865" s="531">
        <f>BV863</f>
        <v>-215200</v>
      </c>
      <c r="BW865" s="581">
        <f>BW863</f>
        <v>1096864</v>
      </c>
      <c r="BX865" s="582">
        <f>IF(BU865=0," ",(BW865-BU865)/BU865)</f>
        <v>-0.16401638944441735</v>
      </c>
      <c r="BY865" s="573"/>
      <c r="BZ865" s="581">
        <f>BZ863</f>
        <v>1096864</v>
      </c>
      <c r="CA865" s="581">
        <f>CA863</f>
        <v>1096864</v>
      </c>
      <c r="CB865" s="573"/>
      <c r="CC865" s="764"/>
      <c r="CD865" s="573"/>
      <c r="CE865" s="581">
        <f>CE863</f>
        <v>1096864</v>
      </c>
      <c r="CF865" s="581">
        <f>CF863</f>
        <v>0</v>
      </c>
      <c r="CH865" s="812"/>
      <c r="CI865" s="812"/>
      <c r="CJ865" s="886"/>
      <c r="CO865" s="16"/>
    </row>
    <row r="866" spans="1:93" s="1" customFormat="1" ht="20.100000000000001" customHeight="1" x14ac:dyDescent="0.3">
      <c r="A866" s="58" t="s">
        <v>351</v>
      </c>
      <c r="B866" s="59"/>
      <c r="C866" s="60"/>
      <c r="D866" s="60"/>
      <c r="E866" s="61"/>
      <c r="F866" s="59"/>
      <c r="G866" s="59"/>
      <c r="H866" s="62">
        <f>SUM(H865)</f>
        <v>653486</v>
      </c>
      <c r="I866" s="62">
        <f>SUM(I865)</f>
        <v>405717.04</v>
      </c>
      <c r="J866" s="62">
        <f>SUM(J865)</f>
        <v>1059203.04</v>
      </c>
      <c r="K866" s="120">
        <f>IF(H866=0," ",(J866-H866)/H866)</f>
        <v>0.62085039312242352</v>
      </c>
      <c r="M866" s="62">
        <f>SUM(M865)</f>
        <v>1034204</v>
      </c>
      <c r="N866" s="62">
        <f>SUM(N865)</f>
        <v>1084204</v>
      </c>
      <c r="P866" s="132">
        <f>SUM(P865)</f>
        <v>0</v>
      </c>
      <c r="R866" s="62">
        <f>SUM(R865)</f>
        <v>1084204</v>
      </c>
      <c r="S866" s="62">
        <f>SUM(S865)</f>
        <v>845277.52</v>
      </c>
      <c r="U866" s="62">
        <f>SUM(U865)</f>
        <v>1084204</v>
      </c>
      <c r="V866" s="62">
        <f>SUM(V865)</f>
        <v>84996</v>
      </c>
      <c r="W866" s="62">
        <f>SUM(W865)</f>
        <v>1169200</v>
      </c>
      <c r="X866" s="120">
        <f>IF(U866=0," ",(W866-U866)/U866)</f>
        <v>7.8394840823313688E-2</v>
      </c>
      <c r="Z866" s="62">
        <f>SUM(Z865)</f>
        <v>1169200</v>
      </c>
      <c r="AA866" s="62">
        <f>SUM(AA865)</f>
        <v>1139567</v>
      </c>
      <c r="AC866" s="132"/>
      <c r="AE866" s="62">
        <f>SUM(AE865)</f>
        <v>1139567</v>
      </c>
      <c r="AF866" s="195">
        <f>SUM(AF865)</f>
        <v>1095061.83</v>
      </c>
      <c r="AH866" s="62">
        <f>SUM(AH865)</f>
        <v>1139567</v>
      </c>
      <c r="AI866" s="62">
        <f>SUM(AI865)</f>
        <v>333517</v>
      </c>
      <c r="AJ866" s="62">
        <f>SUM(AJ865)</f>
        <v>1473084</v>
      </c>
      <c r="AK866" s="120">
        <f>IF(AH866=0," ",(AJ866-AH866)/AH866)</f>
        <v>0.29266993515958256</v>
      </c>
      <c r="AM866" s="62">
        <f>SUM(AM865)</f>
        <v>1435597</v>
      </c>
      <c r="AN866" s="62">
        <f>SUM(AN865)</f>
        <v>1435597</v>
      </c>
      <c r="AP866" s="132"/>
      <c r="AR866" s="62">
        <f>SUM(AR865)</f>
        <v>1435597</v>
      </c>
      <c r="AS866" s="62">
        <f>SUM(AS865)</f>
        <v>1347142.65</v>
      </c>
      <c r="AU866" s="62">
        <f>SUM(AU865)</f>
        <v>1435597</v>
      </c>
      <c r="AV866" s="62">
        <f>SUM(AV865)</f>
        <v>-64769</v>
      </c>
      <c r="AW866" s="62">
        <f>SUM(AW865)</f>
        <v>1370828</v>
      </c>
      <c r="AX866" s="120">
        <f>IF(AU866=0," ",(AW866-AU866)/AU866)</f>
        <v>-4.5116421948499477E-2</v>
      </c>
      <c r="AZ866" s="62">
        <f>SUM(AZ865)</f>
        <v>1370828</v>
      </c>
      <c r="BA866" s="62">
        <f>SUM(BA865)</f>
        <v>1370828</v>
      </c>
      <c r="BC866" s="132"/>
      <c r="BE866" s="62">
        <f>SUM(BE865)</f>
        <v>1370828</v>
      </c>
      <c r="BF866" s="62">
        <f>SUM(BF865)</f>
        <v>1360327.76</v>
      </c>
      <c r="BH866" s="62">
        <f>SUM(BH865)</f>
        <v>1370828</v>
      </c>
      <c r="BI866" s="62">
        <f>SUM(BI865)</f>
        <v>-58764</v>
      </c>
      <c r="BJ866" s="62">
        <f>SUM(BJ865)</f>
        <v>1312064</v>
      </c>
      <c r="BK866" s="120">
        <f>IF(BH866=0," ",(BJ866-BH866)/BH866)</f>
        <v>-4.2867522402518767E-2</v>
      </c>
      <c r="BM866" s="62">
        <f>SUM(BM865)</f>
        <v>1312064</v>
      </c>
      <c r="BN866" s="62">
        <f>SUM(BN865)</f>
        <v>1312064</v>
      </c>
      <c r="BP866" s="398"/>
      <c r="BR866" s="62">
        <f>SUM(BR865)</f>
        <v>1312064</v>
      </c>
      <c r="BS866" s="62">
        <f>SUM(BS865)</f>
        <v>560081.38</v>
      </c>
      <c r="BU866" s="62">
        <f>SUM(BU865)</f>
        <v>1312064</v>
      </c>
      <c r="BV866" s="62">
        <f>SUM(BV865)</f>
        <v>-215200</v>
      </c>
      <c r="BW866" s="62">
        <f>SUM(BW865)</f>
        <v>1096864</v>
      </c>
      <c r="BX866" s="120">
        <f>IF(BU866=0," ",(BW866-BU866)/BU866)</f>
        <v>-0.16401638944441735</v>
      </c>
      <c r="BY866" s="573"/>
      <c r="BZ866" s="62">
        <f>SUM(BZ865)</f>
        <v>1096864</v>
      </c>
      <c r="CA866" s="62">
        <f>SUM(CA865)</f>
        <v>1096864</v>
      </c>
      <c r="CB866" s="573"/>
      <c r="CC866" s="760"/>
      <c r="CD866" s="573"/>
      <c r="CE866" s="62">
        <f>SUM(CE865)</f>
        <v>1096864</v>
      </c>
      <c r="CF866" s="62">
        <f>SUM(CF865)</f>
        <v>0</v>
      </c>
      <c r="CH866" s="812"/>
      <c r="CI866" s="919">
        <v>1096864</v>
      </c>
      <c r="CJ866" s="903">
        <v>44634</v>
      </c>
      <c r="CK866" s="904" t="s">
        <v>1623</v>
      </c>
      <c r="CL866" s="904" t="s">
        <v>1620</v>
      </c>
      <c r="CM866" s="1" t="s">
        <v>1629</v>
      </c>
      <c r="CO866" s="16"/>
    </row>
    <row r="867" spans="1:93" s="1" customFormat="1" ht="20.100000000000001" customHeight="1" x14ac:dyDescent="0.3">
      <c r="A867" s="33"/>
      <c r="B867" s="10"/>
      <c r="C867" s="44"/>
      <c r="D867" s="44"/>
      <c r="E867" s="55"/>
      <c r="F867" s="10"/>
      <c r="G867" s="10"/>
      <c r="H867" s="34"/>
      <c r="I867" s="34"/>
      <c r="J867" s="34"/>
      <c r="K867" s="129"/>
      <c r="M867" s="34">
        <v>1</v>
      </c>
      <c r="N867" s="188"/>
      <c r="P867" s="142"/>
      <c r="R867" s="188"/>
      <c r="S867" s="188"/>
      <c r="U867" s="188"/>
      <c r="V867" s="34"/>
      <c r="W867" s="34"/>
      <c r="X867" s="129"/>
      <c r="Z867" s="34">
        <v>1</v>
      </c>
      <c r="AA867" s="188"/>
      <c r="AC867" s="142"/>
      <c r="AE867" s="188"/>
      <c r="AF867" s="277"/>
      <c r="AH867" s="188"/>
      <c r="AI867" s="34"/>
      <c r="AJ867" s="34">
        <f>AN866-AH865</f>
        <v>296030</v>
      </c>
      <c r="AK867" s="129"/>
      <c r="AM867" s="34">
        <f>AQ866-AK865</f>
        <v>-0.29266993515958256</v>
      </c>
      <c r="AN867" s="188"/>
      <c r="AP867" s="142"/>
      <c r="AR867" s="188"/>
      <c r="AS867" s="388"/>
      <c r="AU867" s="188"/>
      <c r="AV867" s="34"/>
      <c r="AW867" s="34" t="e">
        <f>#REF!-AU865</f>
        <v>#REF!</v>
      </c>
      <c r="AX867" s="129"/>
      <c r="AZ867" s="34" t="e">
        <f>#REF!-AX865</f>
        <v>#REF!</v>
      </c>
      <c r="BA867" s="388"/>
      <c r="BC867" s="142"/>
      <c r="BE867" s="388"/>
      <c r="BF867" s="388"/>
      <c r="BH867" s="388"/>
      <c r="BI867" s="34"/>
      <c r="BJ867" s="34" t="e">
        <f>#REF!-BH865</f>
        <v>#REF!</v>
      </c>
      <c r="BK867" s="129"/>
      <c r="BM867" s="388"/>
      <c r="BN867" s="388"/>
      <c r="BP867" s="140"/>
      <c r="BR867" s="388"/>
      <c r="BS867" s="188"/>
      <c r="BU867" s="388"/>
      <c r="BV867" s="534"/>
      <c r="BW867" s="305"/>
      <c r="BX867" s="593"/>
      <c r="BY867" s="573"/>
      <c r="BZ867" s="605"/>
      <c r="CA867" s="605"/>
      <c r="CB867" s="573"/>
      <c r="CC867" s="752"/>
      <c r="CD867" s="573"/>
      <c r="CE867" s="605"/>
      <c r="CF867" s="605"/>
      <c r="CH867" s="812"/>
      <c r="CI867" s="812"/>
      <c r="CJ867" s="886"/>
      <c r="CO867" s="16"/>
    </row>
    <row r="868" spans="1:93" s="1" customFormat="1" ht="20.100000000000001" customHeight="1" x14ac:dyDescent="0.3">
      <c r="A868" s="33"/>
      <c r="B868" s="10"/>
      <c r="C868" s="44"/>
      <c r="D868" s="44"/>
      <c r="E868" s="55"/>
      <c r="F868" s="10"/>
      <c r="G868" s="10"/>
      <c r="H868" s="34"/>
      <c r="I868" s="34"/>
      <c r="J868" s="34"/>
      <c r="K868" s="129"/>
      <c r="M868" s="34"/>
      <c r="N868" s="34"/>
      <c r="P868" s="142"/>
      <c r="R868" s="34"/>
      <c r="S868" s="34"/>
      <c r="U868" s="34"/>
      <c r="V868" s="34"/>
      <c r="W868" s="34"/>
      <c r="X868" s="129"/>
      <c r="Z868" s="34"/>
      <c r="AA868" s="34"/>
      <c r="AC868" s="142"/>
      <c r="AE868" s="34"/>
      <c r="AF868" s="203"/>
      <c r="AH868" s="34"/>
      <c r="AI868" s="34"/>
      <c r="AJ868" s="34"/>
      <c r="AK868" s="129"/>
      <c r="AM868" s="34"/>
      <c r="AN868" s="34"/>
      <c r="AP868" s="142"/>
      <c r="AR868" s="34"/>
      <c r="AS868" s="34"/>
      <c r="AU868" s="34"/>
      <c r="AV868" s="34"/>
      <c r="AW868" s="34"/>
      <c r="AX868" s="129"/>
      <c r="AZ868" s="34"/>
      <c r="BA868" s="34"/>
      <c r="BC868" s="142"/>
      <c r="BE868" s="34"/>
      <c r="BF868" s="34"/>
      <c r="BH868" s="34"/>
      <c r="BI868" s="34"/>
      <c r="BJ868" s="34"/>
      <c r="BK868" s="129"/>
      <c r="BM868" s="34"/>
      <c r="BN868" s="34"/>
      <c r="BP868" s="140"/>
      <c r="BR868" s="34"/>
      <c r="BS868" s="34"/>
      <c r="BU868" s="34"/>
      <c r="BV868" s="534"/>
      <c r="BW868" s="305"/>
      <c r="BX868" s="593"/>
      <c r="BY868" s="573"/>
      <c r="BZ868" s="305"/>
      <c r="CA868" s="305"/>
      <c r="CB868" s="573"/>
      <c r="CC868" s="752"/>
      <c r="CD868" s="573"/>
      <c r="CE868" s="305"/>
      <c r="CF868" s="305"/>
      <c r="CH868" s="812"/>
      <c r="CI868" s="812"/>
      <c r="CJ868" s="886"/>
      <c r="CO868" s="16"/>
    </row>
    <row r="869" spans="1:93" s="1" customFormat="1" ht="20.100000000000001" customHeight="1" x14ac:dyDescent="0.3">
      <c r="A869" s="63" t="s">
        <v>352</v>
      </c>
      <c r="B869" s="59"/>
      <c r="C869" s="60"/>
      <c r="D869" s="60"/>
      <c r="E869" s="61"/>
      <c r="F869" s="59"/>
      <c r="G869" s="59"/>
      <c r="H869" s="62"/>
      <c r="I869" s="62"/>
      <c r="J869" s="62"/>
      <c r="K869" s="120"/>
      <c r="M869" s="62"/>
      <c r="N869" s="62"/>
      <c r="P869" s="132"/>
      <c r="R869" s="62"/>
      <c r="S869" s="62"/>
      <c r="U869" s="62"/>
      <c r="V869" s="62"/>
      <c r="W869" s="62"/>
      <c r="X869" s="120"/>
      <c r="Z869" s="62"/>
      <c r="AA869" s="62"/>
      <c r="AC869" s="132"/>
      <c r="AE869" s="62"/>
      <c r="AF869" s="195"/>
      <c r="AH869" s="62"/>
      <c r="AI869" s="62"/>
      <c r="AJ869" s="62"/>
      <c r="AK869" s="120"/>
      <c r="AM869" s="62"/>
      <c r="AN869" s="62"/>
      <c r="AP869" s="132"/>
      <c r="AR869" s="62"/>
      <c r="AS869" s="62"/>
      <c r="AU869" s="62"/>
      <c r="AV869" s="62"/>
      <c r="AW869" s="62"/>
      <c r="AX869" s="120"/>
      <c r="AZ869" s="62"/>
      <c r="BA869" s="62"/>
      <c r="BC869" s="132"/>
      <c r="BE869" s="62"/>
      <c r="BF869" s="62"/>
      <c r="BH869" s="62"/>
      <c r="BI869" s="62"/>
      <c r="BJ869" s="62"/>
      <c r="BK869" s="120"/>
      <c r="BM869" s="62"/>
      <c r="BN869" s="62"/>
      <c r="BP869" s="398"/>
      <c r="BR869" s="62"/>
      <c r="BS869" s="62"/>
      <c r="BU869" s="62"/>
      <c r="BV869" s="528"/>
      <c r="BW869" s="571"/>
      <c r="BX869" s="572"/>
      <c r="BY869" s="573"/>
      <c r="BZ869" s="571"/>
      <c r="CA869" s="571"/>
      <c r="CB869" s="573"/>
      <c r="CC869" s="760"/>
      <c r="CD869" s="573"/>
      <c r="CE869" s="571"/>
      <c r="CF869" s="571"/>
      <c r="CH869" s="812"/>
      <c r="CI869" s="812"/>
      <c r="CJ869" s="886"/>
      <c r="CO869" s="16"/>
    </row>
    <row r="870" spans="1:93" s="1" customFormat="1" ht="15.6" x14ac:dyDescent="0.3">
      <c r="A870" s="14" t="s">
        <v>262</v>
      </c>
      <c r="B870" s="2"/>
      <c r="C870" s="36"/>
      <c r="D870" s="36"/>
      <c r="E870" s="48"/>
      <c r="F870" s="2"/>
      <c r="G870" s="2"/>
      <c r="H870" s="15"/>
      <c r="I870" s="15"/>
      <c r="J870" s="15"/>
      <c r="K870" s="121"/>
      <c r="M870" s="15"/>
      <c r="N870" s="15"/>
      <c r="P870" s="133"/>
      <c r="R870" s="15"/>
      <c r="S870" s="15"/>
      <c r="U870" s="15"/>
      <c r="V870" s="15"/>
      <c r="W870" s="15"/>
      <c r="X870" s="121"/>
      <c r="Z870" s="15"/>
      <c r="AA870" s="15"/>
      <c r="AC870" s="133"/>
      <c r="AE870" s="15"/>
      <c r="AF870" s="196"/>
      <c r="AH870" s="15"/>
      <c r="AI870" s="15"/>
      <c r="AJ870" s="15"/>
      <c r="AK870" s="121"/>
      <c r="AM870" s="15"/>
      <c r="AN870" s="15"/>
      <c r="AP870" s="133"/>
      <c r="AR870" s="15"/>
      <c r="AS870" s="15"/>
      <c r="AU870" s="15"/>
      <c r="AV870" s="15"/>
      <c r="AW870" s="15"/>
      <c r="AX870" s="121"/>
      <c r="AZ870" s="15"/>
      <c r="BA870" s="15"/>
      <c r="BC870" s="133"/>
      <c r="BE870" s="15"/>
      <c r="BF870" s="15"/>
      <c r="BH870" s="15"/>
      <c r="BI870" s="15"/>
      <c r="BJ870" s="15"/>
      <c r="BK870" s="121"/>
      <c r="BM870" s="15"/>
      <c r="BN870" s="15"/>
      <c r="BP870" s="234"/>
      <c r="BR870" s="15"/>
      <c r="BS870" s="15"/>
      <c r="BU870" s="15"/>
      <c r="BV870" s="529"/>
      <c r="BW870" s="574"/>
      <c r="BX870" s="575"/>
      <c r="BY870" s="573"/>
      <c r="BZ870" s="574"/>
      <c r="CA870" s="574"/>
      <c r="CB870" s="573"/>
      <c r="CC870" s="761"/>
      <c r="CD870" s="573"/>
      <c r="CE870" s="574"/>
      <c r="CF870" s="574"/>
      <c r="CH870" s="812"/>
      <c r="CI870" s="812"/>
      <c r="CJ870" s="886"/>
      <c r="CO870" s="16"/>
    </row>
    <row r="871" spans="1:93" ht="12.75" customHeight="1" x14ac:dyDescent="0.3">
      <c r="A871" s="11">
        <v>820</v>
      </c>
      <c r="B871" s="3" t="s">
        <v>2</v>
      </c>
      <c r="C871" s="37">
        <v>82084</v>
      </c>
      <c r="D871" s="37">
        <v>56310</v>
      </c>
      <c r="F871" s="3" t="s">
        <v>2</v>
      </c>
      <c r="G871" s="3" t="s">
        <v>957</v>
      </c>
      <c r="H871" s="26">
        <v>0</v>
      </c>
      <c r="I871" s="244"/>
      <c r="J871" s="16">
        <f>H871+I871</f>
        <v>0</v>
      </c>
      <c r="K871" s="122" t="str">
        <f>IF(H871=0," ",(J871-H871)/H871)</f>
        <v xml:space="preserve"> </v>
      </c>
      <c r="M871" s="117"/>
      <c r="N871" s="117"/>
      <c r="P871" s="259"/>
      <c r="R871" s="26"/>
      <c r="S871" s="26"/>
      <c r="U871" s="26"/>
      <c r="V871" s="244"/>
      <c r="W871" s="16">
        <f>U871+V871</f>
        <v>0</v>
      </c>
      <c r="X871" s="122" t="str">
        <f>IF(U871=0," ",(W871-U871)/U871)</f>
        <v xml:space="preserve"> </v>
      </c>
      <c r="Z871" s="117"/>
      <c r="AA871" s="117"/>
      <c r="AC871" s="259"/>
      <c r="AE871" s="26"/>
      <c r="AF871" s="200">
        <v>6563</v>
      </c>
      <c r="AH871" s="26"/>
      <c r="AI871" s="244"/>
      <c r="AJ871" s="16">
        <f>AH871+AI871</f>
        <v>0</v>
      </c>
      <c r="AK871" s="122" t="str">
        <f>IF(AH871=0," ",(AJ871-AH871)/AH871)</f>
        <v xml:space="preserve"> </v>
      </c>
      <c r="AM871" s="117"/>
      <c r="AN871" s="117"/>
      <c r="AP871" s="259"/>
      <c r="AR871" s="26"/>
      <c r="AS871" s="26"/>
      <c r="AU871" s="26">
        <f t="shared" ref="AU871:AU878" si="438">AR871</f>
        <v>0</v>
      </c>
      <c r="AV871" s="244"/>
      <c r="AW871" s="16">
        <f>AU871+AV871</f>
        <v>0</v>
      </c>
      <c r="AX871" s="122" t="str">
        <f>IF(AU871=0," ",(AW871-AU871)/AU871)</f>
        <v xml:space="preserve"> </v>
      </c>
      <c r="AZ871" s="117"/>
      <c r="BA871" s="117"/>
      <c r="BC871" s="259"/>
      <c r="BE871" s="26"/>
      <c r="BF871" s="26"/>
      <c r="BH871" s="26"/>
      <c r="BI871" s="244"/>
      <c r="BJ871" s="16">
        <f>BH871+BI871</f>
        <v>0</v>
      </c>
      <c r="BK871" s="122" t="str">
        <f>IF(BH871=0," ",(BJ871-BH871)/BH871)</f>
        <v xml:space="preserve"> </v>
      </c>
      <c r="BM871" s="117"/>
      <c r="BN871" s="117"/>
      <c r="BP871" s="259"/>
      <c r="BR871" s="117"/>
      <c r="BS871" s="26"/>
      <c r="BU871" s="26"/>
      <c r="BV871" s="244"/>
      <c r="BW871" s="576">
        <f>BU871+BV871</f>
        <v>0</v>
      </c>
      <c r="BX871" s="577" t="str">
        <f>IF(BU871=0," ",(BW871-BU871)/BU871)</f>
        <v xml:space="preserve"> </v>
      </c>
      <c r="BZ871" s="166"/>
      <c r="CA871" s="166"/>
      <c r="CC871" s="937" t="s">
        <v>1508</v>
      </c>
      <c r="CE871" s="166"/>
      <c r="CF871" s="166"/>
      <c r="CO871" s="16"/>
    </row>
    <row r="872" spans="1:93" x14ac:dyDescent="0.3">
      <c r="A872" s="11">
        <v>820</v>
      </c>
      <c r="B872" s="3" t="s">
        <v>2</v>
      </c>
      <c r="C872" s="37">
        <v>82084</v>
      </c>
      <c r="D872" s="37">
        <v>56390</v>
      </c>
      <c r="F872" s="3" t="s">
        <v>2</v>
      </c>
      <c r="G872" s="3" t="s">
        <v>263</v>
      </c>
      <c r="H872" s="26">
        <v>0</v>
      </c>
      <c r="I872" s="244"/>
      <c r="J872" s="16">
        <f t="shared" ref="J872:J878" si="439">H872+I872</f>
        <v>0</v>
      </c>
      <c r="K872" s="122" t="str">
        <f t="shared" ref="K872:K878" si="440">IF(H872=0," ",(J872-H872)/H872)</f>
        <v xml:space="preserve"> </v>
      </c>
      <c r="M872" s="117"/>
      <c r="N872" s="117"/>
      <c r="P872" s="259"/>
      <c r="R872" s="26"/>
      <c r="S872" s="26">
        <v>41430</v>
      </c>
      <c r="U872" s="26"/>
      <c r="V872" s="244"/>
      <c r="W872" s="16">
        <f t="shared" ref="W872:W878" si="441">U872+V872</f>
        <v>0</v>
      </c>
      <c r="X872" s="122" t="str">
        <f t="shared" ref="X872:X878" si="442">IF(U872=0," ",(W872-U872)/U872)</f>
        <v xml:space="preserve"> </v>
      </c>
      <c r="Z872" s="117"/>
      <c r="AA872" s="117"/>
      <c r="AC872" s="259"/>
      <c r="AE872" s="26"/>
      <c r="AF872" s="200">
        <v>44328</v>
      </c>
      <c r="AH872" s="26"/>
      <c r="AI872" s="244"/>
      <c r="AJ872" s="16">
        <f t="shared" ref="AJ872:AJ878" si="443">AH872+AI872</f>
        <v>0</v>
      </c>
      <c r="AK872" s="122" t="str">
        <f t="shared" ref="AK872:AK878" si="444">IF(AH872=0," ",(AJ872-AH872)/AH872)</f>
        <v xml:space="preserve"> </v>
      </c>
      <c r="AM872" s="117"/>
      <c r="AN872" s="117"/>
      <c r="AP872" s="259"/>
      <c r="AR872" s="26"/>
      <c r="AS872" s="26">
        <v>44756</v>
      </c>
      <c r="AU872" s="26">
        <f t="shared" si="438"/>
        <v>0</v>
      </c>
      <c r="AV872" s="244"/>
      <c r="AW872" s="16">
        <f t="shared" ref="AW872:AW878" si="445">AU872+AV872</f>
        <v>0</v>
      </c>
      <c r="AX872" s="122" t="str">
        <f t="shared" ref="AX872:AX878" si="446">IF(AU872=0," ",(AW872-AU872)/AU872)</f>
        <v xml:space="preserve"> </v>
      </c>
      <c r="AZ872" s="117"/>
      <c r="BA872" s="117"/>
      <c r="BC872" s="259"/>
      <c r="BE872" s="26"/>
      <c r="BF872" s="26">
        <v>47435</v>
      </c>
      <c r="BH872" s="26"/>
      <c r="BI872" s="244"/>
      <c r="BJ872" s="16">
        <f t="shared" ref="BJ872:BJ878" si="447">BH872+BI872</f>
        <v>0</v>
      </c>
      <c r="BK872" s="122" t="str">
        <f t="shared" ref="BK872:BK878" si="448">IF(BH872=0," ",(BJ872-BH872)/BH872)</f>
        <v xml:space="preserve"> </v>
      </c>
      <c r="BM872" s="117"/>
      <c r="BN872" s="117"/>
      <c r="BP872" s="259"/>
      <c r="BR872" s="117"/>
      <c r="BS872" s="26">
        <v>20165</v>
      </c>
      <c r="BU872" s="26"/>
      <c r="BV872" s="244"/>
      <c r="BW872" s="576">
        <f t="shared" ref="BW872:BW878" si="449">BU872+BV872</f>
        <v>0</v>
      </c>
      <c r="BX872" s="577" t="str">
        <f t="shared" ref="BX872:BX878" si="450">IF(BU872=0," ",(BW872-BU872)/BU872)</f>
        <v xml:space="preserve"> </v>
      </c>
      <c r="BZ872" s="166"/>
      <c r="CA872" s="166"/>
      <c r="CC872" s="937"/>
      <c r="CE872" s="166"/>
      <c r="CF872" s="166"/>
      <c r="CO872" s="16"/>
    </row>
    <row r="873" spans="1:93" x14ac:dyDescent="0.3">
      <c r="A873" s="11">
        <v>820</v>
      </c>
      <c r="B873" s="3" t="s">
        <v>2</v>
      </c>
      <c r="C873" s="37">
        <v>82084</v>
      </c>
      <c r="D873" s="37">
        <v>56400</v>
      </c>
      <c r="F873" s="3" t="s">
        <v>2</v>
      </c>
      <c r="G873" s="3" t="s">
        <v>264</v>
      </c>
      <c r="H873" s="26">
        <v>0</v>
      </c>
      <c r="I873" s="244"/>
      <c r="J873" s="16">
        <f t="shared" si="439"/>
        <v>0</v>
      </c>
      <c r="K873" s="122" t="str">
        <f t="shared" si="440"/>
        <v xml:space="preserve"> </v>
      </c>
      <c r="M873" s="117"/>
      <c r="N873" s="117"/>
      <c r="P873" s="259"/>
      <c r="R873" s="26"/>
      <c r="S873" s="26">
        <v>2442</v>
      </c>
      <c r="U873" s="26"/>
      <c r="V873" s="244"/>
      <c r="W873" s="16">
        <f t="shared" si="441"/>
        <v>0</v>
      </c>
      <c r="X873" s="122" t="str">
        <f t="shared" si="442"/>
        <v xml:space="preserve"> </v>
      </c>
      <c r="Z873" s="117"/>
      <c r="AA873" s="117"/>
      <c r="AC873" s="259"/>
      <c r="AE873" s="26"/>
      <c r="AF873" s="200">
        <v>2502</v>
      </c>
      <c r="AH873" s="26"/>
      <c r="AI873" s="244"/>
      <c r="AJ873" s="16">
        <f t="shared" si="443"/>
        <v>0</v>
      </c>
      <c r="AK873" s="122" t="str">
        <f t="shared" si="444"/>
        <v xml:space="preserve"> </v>
      </c>
      <c r="AM873" s="117"/>
      <c r="AN873" s="117"/>
      <c r="AP873" s="259"/>
      <c r="AR873" s="26"/>
      <c r="AS873" s="26">
        <v>2479</v>
      </c>
      <c r="AU873" s="26">
        <f t="shared" si="438"/>
        <v>0</v>
      </c>
      <c r="AV873" s="244"/>
      <c r="AW873" s="16">
        <f t="shared" si="445"/>
        <v>0</v>
      </c>
      <c r="AX873" s="122" t="str">
        <f t="shared" si="446"/>
        <v xml:space="preserve"> </v>
      </c>
      <c r="AZ873" s="117"/>
      <c r="BA873" s="117"/>
      <c r="BC873" s="259"/>
      <c r="BE873" s="26"/>
      <c r="BF873" s="26">
        <v>2540</v>
      </c>
      <c r="BH873" s="26"/>
      <c r="BI873" s="244"/>
      <c r="BJ873" s="16">
        <f t="shared" si="447"/>
        <v>0</v>
      </c>
      <c r="BK873" s="122" t="str">
        <f t="shared" si="448"/>
        <v xml:space="preserve"> </v>
      </c>
      <c r="BM873" s="117"/>
      <c r="BN873" s="117"/>
      <c r="BP873" s="259"/>
      <c r="BR873" s="117"/>
      <c r="BS873" s="26">
        <v>1050</v>
      </c>
      <c r="BU873" s="26"/>
      <c r="BV873" s="244"/>
      <c r="BW873" s="576">
        <f t="shared" si="449"/>
        <v>0</v>
      </c>
      <c r="BX873" s="577" t="str">
        <f t="shared" si="450"/>
        <v xml:space="preserve"> </v>
      </c>
      <c r="BZ873" s="166"/>
      <c r="CA873" s="166"/>
      <c r="CC873" s="937"/>
      <c r="CE873" s="166"/>
      <c r="CF873" s="166"/>
      <c r="CO873" s="16"/>
    </row>
    <row r="874" spans="1:93" x14ac:dyDescent="0.3">
      <c r="A874" s="11">
        <v>820</v>
      </c>
      <c r="B874" s="3" t="s">
        <v>2</v>
      </c>
      <c r="C874" s="37">
        <v>82084</v>
      </c>
      <c r="D874" s="37">
        <v>56410</v>
      </c>
      <c r="F874" s="3" t="s">
        <v>2</v>
      </c>
      <c r="G874" s="3" t="s">
        <v>265</v>
      </c>
      <c r="H874" s="26">
        <v>0</v>
      </c>
      <c r="I874" s="244"/>
      <c r="J874" s="16">
        <f t="shared" si="439"/>
        <v>0</v>
      </c>
      <c r="K874" s="122" t="str">
        <f t="shared" si="440"/>
        <v xml:space="preserve"> </v>
      </c>
      <c r="M874" s="117"/>
      <c r="N874" s="117"/>
      <c r="P874" s="259"/>
      <c r="R874" s="26"/>
      <c r="S874" s="26">
        <v>3335</v>
      </c>
      <c r="U874" s="26"/>
      <c r="V874" s="244"/>
      <c r="W874" s="16">
        <f t="shared" si="441"/>
        <v>0</v>
      </c>
      <c r="X874" s="122" t="str">
        <f t="shared" si="442"/>
        <v xml:space="preserve"> </v>
      </c>
      <c r="Z874" s="117"/>
      <c r="AA874" s="117"/>
      <c r="AC874" s="259"/>
      <c r="AE874" s="26"/>
      <c r="AF874" s="200">
        <v>3402</v>
      </c>
      <c r="AH874" s="26"/>
      <c r="AI874" s="244"/>
      <c r="AJ874" s="16">
        <f t="shared" si="443"/>
        <v>0</v>
      </c>
      <c r="AK874" s="122" t="str">
        <f t="shared" si="444"/>
        <v xml:space="preserve"> </v>
      </c>
      <c r="AM874" s="117"/>
      <c r="AN874" s="117"/>
      <c r="AP874" s="259"/>
      <c r="AR874" s="26"/>
      <c r="AS874" s="26">
        <v>3496</v>
      </c>
      <c r="AU874" s="26">
        <f t="shared" si="438"/>
        <v>0</v>
      </c>
      <c r="AV874" s="244"/>
      <c r="AW874" s="16">
        <f t="shared" si="445"/>
        <v>0</v>
      </c>
      <c r="AX874" s="122" t="str">
        <f t="shared" si="446"/>
        <v xml:space="preserve"> </v>
      </c>
      <c r="AZ874" s="117"/>
      <c r="BA874" s="117"/>
      <c r="BC874" s="259"/>
      <c r="BE874" s="26"/>
      <c r="BF874" s="26">
        <v>3557</v>
      </c>
      <c r="BH874" s="26"/>
      <c r="BI874" s="244"/>
      <c r="BJ874" s="16">
        <f t="shared" si="447"/>
        <v>0</v>
      </c>
      <c r="BK874" s="122" t="str">
        <f t="shared" si="448"/>
        <v xml:space="preserve"> </v>
      </c>
      <c r="BM874" s="117"/>
      <c r="BN874" s="117"/>
      <c r="BP874" s="259"/>
      <c r="BR874" s="117"/>
      <c r="BS874" s="26">
        <v>1525</v>
      </c>
      <c r="BU874" s="26"/>
      <c r="BV874" s="244"/>
      <c r="BW874" s="576">
        <f t="shared" si="449"/>
        <v>0</v>
      </c>
      <c r="BX874" s="577" t="str">
        <f t="shared" si="450"/>
        <v xml:space="preserve"> </v>
      </c>
      <c r="BZ874" s="166"/>
      <c r="CA874" s="166"/>
      <c r="CC874" s="937"/>
      <c r="CE874" s="166"/>
      <c r="CF874" s="166"/>
      <c r="CO874" s="16"/>
    </row>
    <row r="875" spans="1:93" x14ac:dyDescent="0.3">
      <c r="A875" s="11">
        <v>820</v>
      </c>
      <c r="B875" s="3" t="s">
        <v>2</v>
      </c>
      <c r="C875" s="37">
        <v>82084</v>
      </c>
      <c r="D875" s="37">
        <v>56610</v>
      </c>
      <c r="F875" s="3" t="s">
        <v>2</v>
      </c>
      <c r="G875" s="3" t="s">
        <v>266</v>
      </c>
      <c r="H875" s="26">
        <v>0</v>
      </c>
      <c r="I875" s="244"/>
      <c r="J875" s="16">
        <f t="shared" si="439"/>
        <v>0</v>
      </c>
      <c r="K875" s="122" t="str">
        <f t="shared" si="440"/>
        <v xml:space="preserve"> </v>
      </c>
      <c r="M875" s="117"/>
      <c r="N875" s="117"/>
      <c r="P875" s="259"/>
      <c r="R875" s="26"/>
      <c r="S875" s="26">
        <v>140654</v>
      </c>
      <c r="U875" s="26"/>
      <c r="V875" s="244"/>
      <c r="W875" s="16">
        <f t="shared" si="441"/>
        <v>0</v>
      </c>
      <c r="X875" s="122" t="str">
        <f t="shared" si="442"/>
        <v xml:space="preserve"> </v>
      </c>
      <c r="Z875" s="117"/>
      <c r="AA875" s="117"/>
      <c r="AC875" s="259"/>
      <c r="AE875" s="26"/>
      <c r="AF875" s="200">
        <v>143878</v>
      </c>
      <c r="AH875" s="26"/>
      <c r="AI875" s="244"/>
      <c r="AJ875" s="16">
        <f t="shared" si="443"/>
        <v>0</v>
      </c>
      <c r="AK875" s="122" t="str">
        <f t="shared" si="444"/>
        <v xml:space="preserve"> </v>
      </c>
      <c r="AM875" s="117"/>
      <c r="AN875" s="117"/>
      <c r="AP875" s="259"/>
      <c r="AR875" s="26"/>
      <c r="AS875" s="26">
        <v>147885</v>
      </c>
      <c r="AU875" s="26">
        <f t="shared" si="438"/>
        <v>0</v>
      </c>
      <c r="AV875" s="244"/>
      <c r="AW875" s="16">
        <f t="shared" si="445"/>
        <v>0</v>
      </c>
      <c r="AX875" s="122" t="str">
        <f t="shared" si="446"/>
        <v xml:space="preserve"> </v>
      </c>
      <c r="AZ875" s="117"/>
      <c r="BA875" s="117"/>
      <c r="BC875" s="259"/>
      <c r="BE875" s="26"/>
      <c r="BF875" s="26">
        <v>148434</v>
      </c>
      <c r="BH875" s="26"/>
      <c r="BI875" s="244"/>
      <c r="BJ875" s="16">
        <f t="shared" si="447"/>
        <v>0</v>
      </c>
      <c r="BK875" s="122" t="str">
        <f t="shared" si="448"/>
        <v xml:space="preserve"> </v>
      </c>
      <c r="BM875" s="117"/>
      <c r="BN875" s="117"/>
      <c r="BP875" s="259"/>
      <c r="BR875" s="117"/>
      <c r="BS875" s="26">
        <v>62670</v>
      </c>
      <c r="BU875" s="26"/>
      <c r="BV875" s="244"/>
      <c r="BW875" s="576">
        <f t="shared" si="449"/>
        <v>0</v>
      </c>
      <c r="BX875" s="577" t="str">
        <f t="shared" si="450"/>
        <v xml:space="preserve"> </v>
      </c>
      <c r="BZ875" s="166"/>
      <c r="CA875" s="166"/>
      <c r="CC875" s="753"/>
      <c r="CE875" s="166"/>
      <c r="CF875" s="166"/>
      <c r="CO875" s="16"/>
    </row>
    <row r="876" spans="1:93" x14ac:dyDescent="0.3">
      <c r="A876" s="11">
        <v>820</v>
      </c>
      <c r="B876" s="3" t="s">
        <v>2</v>
      </c>
      <c r="C876" s="37">
        <v>82084</v>
      </c>
      <c r="D876" s="37">
        <v>56700</v>
      </c>
      <c r="F876" s="3" t="s">
        <v>2</v>
      </c>
      <c r="G876" s="3" t="s">
        <v>267</v>
      </c>
      <c r="H876" s="26">
        <v>0</v>
      </c>
      <c r="I876" s="244"/>
      <c r="J876" s="16">
        <f t="shared" si="439"/>
        <v>0</v>
      </c>
      <c r="K876" s="122" t="str">
        <f t="shared" si="440"/>
        <v xml:space="preserve"> </v>
      </c>
      <c r="M876" s="117"/>
      <c r="N876" s="117"/>
      <c r="P876" s="259"/>
      <c r="R876" s="26"/>
      <c r="S876" s="26">
        <v>5000</v>
      </c>
      <c r="U876" s="26"/>
      <c r="V876" s="244"/>
      <c r="W876" s="16">
        <f t="shared" si="441"/>
        <v>0</v>
      </c>
      <c r="X876" s="122" t="str">
        <f t="shared" si="442"/>
        <v xml:space="preserve"> </v>
      </c>
      <c r="Z876" s="117"/>
      <c r="AA876" s="117"/>
      <c r="AC876" s="259"/>
      <c r="AE876" s="26"/>
      <c r="AF876" s="200">
        <v>5000</v>
      </c>
      <c r="AH876" s="26"/>
      <c r="AI876" s="244"/>
      <c r="AJ876" s="16">
        <f t="shared" si="443"/>
        <v>0</v>
      </c>
      <c r="AK876" s="122" t="str">
        <f t="shared" si="444"/>
        <v xml:space="preserve"> </v>
      </c>
      <c r="AM876" s="117"/>
      <c r="AN876" s="117"/>
      <c r="AP876" s="259"/>
      <c r="AR876" s="26"/>
      <c r="AS876" s="26">
        <v>5000</v>
      </c>
      <c r="AU876" s="26">
        <f t="shared" si="438"/>
        <v>0</v>
      </c>
      <c r="AV876" s="244"/>
      <c r="AW876" s="16">
        <f t="shared" si="445"/>
        <v>0</v>
      </c>
      <c r="AX876" s="122" t="str">
        <f t="shared" si="446"/>
        <v xml:space="preserve"> </v>
      </c>
      <c r="AZ876" s="117"/>
      <c r="BA876" s="117"/>
      <c r="BC876" s="259"/>
      <c r="BE876" s="26"/>
      <c r="BF876" s="26">
        <v>5000</v>
      </c>
      <c r="BH876" s="26"/>
      <c r="BI876" s="244"/>
      <c r="BJ876" s="16">
        <f t="shared" si="447"/>
        <v>0</v>
      </c>
      <c r="BK876" s="122" t="str">
        <f t="shared" si="448"/>
        <v xml:space="preserve"> </v>
      </c>
      <c r="BM876" s="117"/>
      <c r="BN876" s="117"/>
      <c r="BP876" s="259"/>
      <c r="BR876" s="117"/>
      <c r="BS876" s="26">
        <v>2085</v>
      </c>
      <c r="BU876" s="26"/>
      <c r="BV876" s="244"/>
      <c r="BW876" s="576">
        <f t="shared" si="449"/>
        <v>0</v>
      </c>
      <c r="BX876" s="577" t="str">
        <f t="shared" si="450"/>
        <v xml:space="preserve"> </v>
      </c>
      <c r="BZ876" s="166"/>
      <c r="CA876" s="166"/>
      <c r="CC876" s="753"/>
      <c r="CE876" s="166"/>
      <c r="CF876" s="166"/>
      <c r="CO876" s="16"/>
    </row>
    <row r="877" spans="1:93" x14ac:dyDescent="0.3">
      <c r="A877" s="11">
        <v>820</v>
      </c>
      <c r="B877" s="3" t="s">
        <v>2</v>
      </c>
      <c r="C877" s="37">
        <v>82084</v>
      </c>
      <c r="D877" s="37">
        <v>56710</v>
      </c>
      <c r="F877" s="3" t="s">
        <v>2</v>
      </c>
      <c r="G877" s="3" t="s">
        <v>268</v>
      </c>
      <c r="H877" s="26">
        <v>0</v>
      </c>
      <c r="I877" s="244"/>
      <c r="J877" s="16">
        <f t="shared" si="439"/>
        <v>0</v>
      </c>
      <c r="K877" s="122" t="str">
        <f t="shared" si="440"/>
        <v xml:space="preserve"> </v>
      </c>
      <c r="M877" s="117"/>
      <c r="N877" s="117"/>
      <c r="P877" s="259"/>
      <c r="R877" s="26"/>
      <c r="S877" s="26">
        <v>3800</v>
      </c>
      <c r="U877" s="26"/>
      <c r="V877" s="244"/>
      <c r="W877" s="16">
        <f t="shared" si="441"/>
        <v>0</v>
      </c>
      <c r="X877" s="122" t="str">
        <f t="shared" si="442"/>
        <v xml:space="preserve"> </v>
      </c>
      <c r="Z877" s="117"/>
      <c r="AA877" s="117"/>
      <c r="AC877" s="259"/>
      <c r="AE877" s="26"/>
      <c r="AF877" s="200">
        <v>3800</v>
      </c>
      <c r="AH877" s="26"/>
      <c r="AI877" s="244"/>
      <c r="AJ877" s="16">
        <f t="shared" si="443"/>
        <v>0</v>
      </c>
      <c r="AK877" s="122" t="str">
        <f t="shared" si="444"/>
        <v xml:space="preserve"> </v>
      </c>
      <c r="AM877" s="117"/>
      <c r="AN877" s="117"/>
      <c r="AP877" s="259"/>
      <c r="AR877" s="26"/>
      <c r="AS877" s="26">
        <v>3800</v>
      </c>
      <c r="AU877" s="26">
        <f t="shared" si="438"/>
        <v>0</v>
      </c>
      <c r="AV877" s="244"/>
      <c r="AW877" s="16">
        <f t="shared" si="445"/>
        <v>0</v>
      </c>
      <c r="AX877" s="122" t="str">
        <f t="shared" si="446"/>
        <v xml:space="preserve"> </v>
      </c>
      <c r="AZ877" s="117"/>
      <c r="BA877" s="117"/>
      <c r="BC877" s="259"/>
      <c r="BE877" s="26"/>
      <c r="BF877" s="26">
        <v>2340</v>
      </c>
      <c r="BH877" s="26"/>
      <c r="BI877" s="244"/>
      <c r="BJ877" s="16">
        <f t="shared" si="447"/>
        <v>0</v>
      </c>
      <c r="BK877" s="122" t="str">
        <f t="shared" si="448"/>
        <v xml:space="preserve"> </v>
      </c>
      <c r="BM877" s="117"/>
      <c r="BN877" s="117"/>
      <c r="BP877" s="259"/>
      <c r="BR877" s="117"/>
      <c r="BS877" s="26">
        <v>717</v>
      </c>
      <c r="BU877" s="26"/>
      <c r="BV877" s="244"/>
      <c r="BW877" s="576">
        <f t="shared" si="449"/>
        <v>0</v>
      </c>
      <c r="BX877" s="577" t="str">
        <f t="shared" si="450"/>
        <v xml:space="preserve"> </v>
      </c>
      <c r="BZ877" s="166"/>
      <c r="CA877" s="166"/>
      <c r="CC877" s="753"/>
      <c r="CE877" s="166"/>
      <c r="CF877" s="166"/>
      <c r="CO877" s="16"/>
    </row>
    <row r="878" spans="1:93" x14ac:dyDescent="0.3">
      <c r="A878" s="11">
        <v>820</v>
      </c>
      <c r="B878" s="3" t="s">
        <v>2</v>
      </c>
      <c r="C878" s="37">
        <v>82084</v>
      </c>
      <c r="D878" s="37">
        <v>56992</v>
      </c>
      <c r="F878" s="3" t="s">
        <v>2</v>
      </c>
      <c r="G878" s="3" t="s">
        <v>269</v>
      </c>
      <c r="H878" s="26">
        <v>0</v>
      </c>
      <c r="I878" s="244"/>
      <c r="J878" s="16">
        <f t="shared" si="439"/>
        <v>0</v>
      </c>
      <c r="K878" s="122" t="str">
        <f t="shared" si="440"/>
        <v xml:space="preserve"> </v>
      </c>
      <c r="M878" s="117"/>
      <c r="N878" s="117"/>
      <c r="P878" s="259"/>
      <c r="R878" s="26"/>
      <c r="S878" s="26">
        <v>103869</v>
      </c>
      <c r="U878" s="26"/>
      <c r="V878" s="244"/>
      <c r="W878" s="16">
        <f t="shared" si="441"/>
        <v>0</v>
      </c>
      <c r="X878" s="122" t="str">
        <f t="shared" si="442"/>
        <v xml:space="preserve"> </v>
      </c>
      <c r="Z878" s="117"/>
      <c r="AA878" s="117"/>
      <c r="AC878" s="259"/>
      <c r="AE878" s="26"/>
      <c r="AF878" s="200">
        <v>87179</v>
      </c>
      <c r="AH878" s="26"/>
      <c r="AI878" s="244"/>
      <c r="AJ878" s="16">
        <f t="shared" si="443"/>
        <v>0</v>
      </c>
      <c r="AK878" s="122" t="str">
        <f t="shared" si="444"/>
        <v xml:space="preserve"> </v>
      </c>
      <c r="AM878" s="117"/>
      <c r="AN878" s="117"/>
      <c r="AP878" s="259"/>
      <c r="AR878" s="26"/>
      <c r="AS878" s="26"/>
      <c r="AU878" s="26">
        <f t="shared" si="438"/>
        <v>0</v>
      </c>
      <c r="AV878" s="244"/>
      <c r="AW878" s="16">
        <f t="shared" si="445"/>
        <v>0</v>
      </c>
      <c r="AX878" s="122" t="str">
        <f t="shared" si="446"/>
        <v xml:space="preserve"> </v>
      </c>
      <c r="AZ878" s="117"/>
      <c r="BA878" s="117"/>
      <c r="BC878" s="259"/>
      <c r="BE878" s="26"/>
      <c r="BF878" s="26"/>
      <c r="BH878" s="26"/>
      <c r="BI878" s="244"/>
      <c r="BJ878" s="16">
        <f t="shared" si="447"/>
        <v>0</v>
      </c>
      <c r="BK878" s="122" t="str">
        <f t="shared" si="448"/>
        <v xml:space="preserve"> </v>
      </c>
      <c r="BM878" s="117"/>
      <c r="BN878" s="117"/>
      <c r="BP878" s="259"/>
      <c r="BR878" s="117"/>
      <c r="BS878" s="26"/>
      <c r="BU878" s="26"/>
      <c r="BV878" s="244"/>
      <c r="BW878" s="576">
        <f t="shared" si="449"/>
        <v>0</v>
      </c>
      <c r="BX878" s="577" t="str">
        <f t="shared" si="450"/>
        <v xml:space="preserve"> </v>
      </c>
      <c r="BZ878" s="166"/>
      <c r="CA878" s="166"/>
      <c r="CC878" s="753"/>
      <c r="CE878" s="166"/>
      <c r="CF878" s="166"/>
      <c r="CO878" s="16"/>
    </row>
    <row r="879" spans="1:93" s="19" customFormat="1" x14ac:dyDescent="0.3">
      <c r="A879" s="27"/>
      <c r="B879" s="8"/>
      <c r="C879" s="42"/>
      <c r="D879" s="42"/>
      <c r="E879" s="54"/>
      <c r="F879" s="8"/>
      <c r="G879" s="57" t="str">
        <f>A870</f>
        <v>LOCAL AID ASSESSMENTS</v>
      </c>
      <c r="H879" s="28">
        <f>SUM(H871:H878)</f>
        <v>0</v>
      </c>
      <c r="I879" s="28">
        <f>SUM(I871:I878)</f>
        <v>0</v>
      </c>
      <c r="J879" s="28">
        <f>SUM(J871:J878)</f>
        <v>0</v>
      </c>
      <c r="K879" s="123" t="str">
        <f>IF(H879=0," ",(J879-H879)/H879)</f>
        <v xml:space="preserve"> </v>
      </c>
      <c r="M879" s="28">
        <f>SUM(M871:M878)</f>
        <v>0</v>
      </c>
      <c r="N879" s="28">
        <f>SUM(N871:N878)</f>
        <v>0</v>
      </c>
      <c r="P879" s="139">
        <f>SUM(P872:P878)</f>
        <v>0</v>
      </c>
      <c r="R879" s="28">
        <f>SUM(R871:R878)</f>
        <v>0</v>
      </c>
      <c r="S879" s="28">
        <f>SUM(S871:S878)</f>
        <v>300530</v>
      </c>
      <c r="U879" s="28">
        <f>SUM(U871:U878)</f>
        <v>0</v>
      </c>
      <c r="V879" s="28">
        <f>SUM(V871:V878)</f>
        <v>0</v>
      </c>
      <c r="W879" s="28">
        <f>SUM(W871:W878)</f>
        <v>0</v>
      </c>
      <c r="X879" s="123" t="str">
        <f>IF(U879=0," ",(W879-U879)/U879)</f>
        <v xml:space="preserve"> </v>
      </c>
      <c r="Z879" s="28">
        <f>SUM(Z871:Z878)</f>
        <v>0</v>
      </c>
      <c r="AA879" s="28">
        <f>SUM(AA871:AA878)</f>
        <v>0</v>
      </c>
      <c r="AC879" s="139"/>
      <c r="AE879" s="28">
        <f>SUM(AE871:AE878)</f>
        <v>0</v>
      </c>
      <c r="AF879" s="201">
        <f>SUM(AF871:AF878)</f>
        <v>296652</v>
      </c>
      <c r="AH879" s="28">
        <f>SUM(AH871:AH878)</f>
        <v>0</v>
      </c>
      <c r="AI879" s="28">
        <f>SUM(AI871:AI878)</f>
        <v>0</v>
      </c>
      <c r="AJ879" s="28">
        <f>SUM(AJ871:AJ878)</f>
        <v>0</v>
      </c>
      <c r="AK879" s="123" t="str">
        <f>IF(AH879=0," ",(AJ879-AH879)/AH879)</f>
        <v xml:space="preserve"> </v>
      </c>
      <c r="AM879" s="28">
        <f>SUM(AM871:AM878)</f>
        <v>0</v>
      </c>
      <c r="AN879" s="28">
        <f>SUM(AN871:AN878)</f>
        <v>0</v>
      </c>
      <c r="AP879" s="139"/>
      <c r="AR879" s="28">
        <f>SUM(AR871:AR878)</f>
        <v>0</v>
      </c>
      <c r="AS879" s="28">
        <f>SUM(AS871:AS878)</f>
        <v>207416</v>
      </c>
      <c r="AU879" s="28">
        <f>SUM(AU871:AU878)</f>
        <v>0</v>
      </c>
      <c r="AV879" s="28">
        <f>SUM(AV871:AV878)</f>
        <v>0</v>
      </c>
      <c r="AW879" s="28">
        <f>SUM(AW871:AW878)</f>
        <v>0</v>
      </c>
      <c r="AX879" s="123" t="str">
        <f>IF(AU879=0," ",(AW879-AU879)/AU879)</f>
        <v xml:space="preserve"> </v>
      </c>
      <c r="AZ879" s="28">
        <f>SUM(AZ871:AZ878)</f>
        <v>0</v>
      </c>
      <c r="BA879" s="28">
        <f>SUM(BA871:BA878)</f>
        <v>0</v>
      </c>
      <c r="BC879" s="139"/>
      <c r="BE879" s="28">
        <f>SUM(BE871:BE878)</f>
        <v>0</v>
      </c>
      <c r="BF879" s="28">
        <f>SUM(BF871:BF878)</f>
        <v>209306</v>
      </c>
      <c r="BG879" s="9"/>
      <c r="BH879" s="28">
        <f>SUM(BH871:BH878)</f>
        <v>0</v>
      </c>
      <c r="BI879" s="28">
        <f>SUM(BI871:BI878)</f>
        <v>0</v>
      </c>
      <c r="BJ879" s="28">
        <f>SUM(BJ871:BJ878)</f>
        <v>0</v>
      </c>
      <c r="BK879" s="123" t="str">
        <f>IF(BH879=0," ",(BJ879-BH879)/BH879)</f>
        <v xml:space="preserve"> </v>
      </c>
      <c r="BM879" s="28">
        <f>SUM(BM871:BM878)</f>
        <v>0</v>
      </c>
      <c r="BN879" s="28">
        <f>SUM(BN871:BN878)</f>
        <v>0</v>
      </c>
      <c r="BP879" s="139"/>
      <c r="BR879" s="28">
        <f>SUM(BR871:BR878)</f>
        <v>0</v>
      </c>
      <c r="BS879" s="28">
        <f>SUM(BS871:BS878)</f>
        <v>88212</v>
      </c>
      <c r="BT879" s="9"/>
      <c r="BU879" s="28">
        <f>SUM(BU871:BU878)</f>
        <v>0</v>
      </c>
      <c r="BV879" s="532">
        <f>SUM(BV871:BV878)</f>
        <v>0</v>
      </c>
      <c r="BW879" s="591">
        <f>SUM(BW871:BW878)</f>
        <v>0</v>
      </c>
      <c r="BX879" s="579" t="str">
        <f>IF(BU879=0," ",(BW879-BU879)/BU879)</f>
        <v xml:space="preserve"> </v>
      </c>
      <c r="BY879" s="580"/>
      <c r="BZ879" s="591">
        <f>SUM(BZ871:BZ878)</f>
        <v>0</v>
      </c>
      <c r="CA879" s="591">
        <f>SUM(CA871:CA878)</f>
        <v>0</v>
      </c>
      <c r="CB879" s="580"/>
      <c r="CC879" s="769"/>
      <c r="CD879" s="580"/>
      <c r="CE879" s="591">
        <f>SUM(CE871:CE878)</f>
        <v>0</v>
      </c>
      <c r="CF879" s="591">
        <f>SUM(CF871:CF878)</f>
        <v>0</v>
      </c>
      <c r="CG879" s="9"/>
      <c r="CH879" s="815"/>
      <c r="CI879" s="815"/>
      <c r="CJ879" s="887"/>
      <c r="CO879" s="16"/>
    </row>
    <row r="880" spans="1:93" ht="9.9" customHeight="1" x14ac:dyDescent="0.3">
      <c r="AS880" s="16"/>
      <c r="CO880" s="16"/>
    </row>
    <row r="881" spans="1:93" s="1" customFormat="1" x14ac:dyDescent="0.3">
      <c r="A881" s="20"/>
      <c r="B881" s="5"/>
      <c r="C881" s="39"/>
      <c r="D881" s="39"/>
      <c r="E881" s="51"/>
      <c r="F881" s="5"/>
      <c r="G881" s="21" t="str">
        <f>A870</f>
        <v>LOCAL AID ASSESSMENTS</v>
      </c>
      <c r="H881" s="22">
        <f t="shared" ref="H881" si="451">H879</f>
        <v>0</v>
      </c>
      <c r="I881" s="22">
        <f>I879</f>
        <v>0</v>
      </c>
      <c r="J881" s="22">
        <f>J879</f>
        <v>0</v>
      </c>
      <c r="K881" s="124" t="str">
        <f>IF(H881=0," ",(J881-H881)/H881)</f>
        <v xml:space="preserve"> </v>
      </c>
      <c r="M881" s="22">
        <f>M879</f>
        <v>0</v>
      </c>
      <c r="N881" s="22">
        <f>N879</f>
        <v>0</v>
      </c>
      <c r="P881" s="136">
        <f>P879</f>
        <v>0</v>
      </c>
      <c r="R881" s="22">
        <f>R879</f>
        <v>0</v>
      </c>
      <c r="S881" s="22">
        <f>S879</f>
        <v>300530</v>
      </c>
      <c r="U881" s="22">
        <f>U879</f>
        <v>0</v>
      </c>
      <c r="V881" s="22">
        <f>V879</f>
        <v>0</v>
      </c>
      <c r="W881" s="22">
        <f>W879</f>
        <v>0</v>
      </c>
      <c r="X881" s="124" t="str">
        <f>IF(U881=0," ",(W881-U881)/U881)</f>
        <v xml:space="preserve"> </v>
      </c>
      <c r="Z881" s="22">
        <f>Z879</f>
        <v>0</v>
      </c>
      <c r="AA881" s="22">
        <f>AA879</f>
        <v>0</v>
      </c>
      <c r="AC881" s="136"/>
      <c r="AE881" s="22">
        <f>AE879</f>
        <v>0</v>
      </c>
      <c r="AF881" s="199">
        <f>AF879</f>
        <v>296652</v>
      </c>
      <c r="AH881" s="22">
        <v>0</v>
      </c>
      <c r="AI881" s="22">
        <f>AI879</f>
        <v>0</v>
      </c>
      <c r="AJ881" s="22">
        <f>AJ879</f>
        <v>0</v>
      </c>
      <c r="AK881" s="124" t="str">
        <f>IF(AH881=0," ",(AJ881-AH881)/AH881)</f>
        <v xml:space="preserve"> </v>
      </c>
      <c r="AM881" s="22">
        <f>AM879</f>
        <v>0</v>
      </c>
      <c r="AN881" s="22">
        <f>AN879</f>
        <v>0</v>
      </c>
      <c r="AP881" s="136"/>
      <c r="AR881" s="22">
        <f>AR879</f>
        <v>0</v>
      </c>
      <c r="AS881" s="22">
        <f>AS879</f>
        <v>207416</v>
      </c>
      <c r="AU881" s="22">
        <f>AU879</f>
        <v>0</v>
      </c>
      <c r="AV881" s="22">
        <f>AV879</f>
        <v>0</v>
      </c>
      <c r="AW881" s="22">
        <f>AW879</f>
        <v>0</v>
      </c>
      <c r="AX881" s="124" t="str">
        <f>IF(AU881=0," ",(AW881-AU881)/AU881)</f>
        <v xml:space="preserve"> </v>
      </c>
      <c r="AZ881" s="22">
        <f>AZ879</f>
        <v>0</v>
      </c>
      <c r="BA881" s="22">
        <f>BA879</f>
        <v>0</v>
      </c>
      <c r="BC881" s="136"/>
      <c r="BE881" s="22">
        <f>BE879</f>
        <v>0</v>
      </c>
      <c r="BF881" s="22">
        <f>BF879</f>
        <v>209306</v>
      </c>
      <c r="BH881" s="22">
        <f>BH879</f>
        <v>0</v>
      </c>
      <c r="BI881" s="22">
        <f>BI879</f>
        <v>0</v>
      </c>
      <c r="BJ881" s="22">
        <f>BJ879</f>
        <v>0</v>
      </c>
      <c r="BK881" s="124" t="str">
        <f>IF(BH881=0," ",(BJ881-BH881)/BH881)</f>
        <v xml:space="preserve"> </v>
      </c>
      <c r="BM881" s="22">
        <f>BM879</f>
        <v>0</v>
      </c>
      <c r="BN881" s="22">
        <f>BN879</f>
        <v>0</v>
      </c>
      <c r="BP881" s="136"/>
      <c r="BR881" s="22">
        <f>BR879</f>
        <v>0</v>
      </c>
      <c r="BS881" s="22">
        <f>BS879</f>
        <v>88212</v>
      </c>
      <c r="BU881" s="22">
        <f>BU879</f>
        <v>0</v>
      </c>
      <c r="BV881" s="531">
        <f>BV879</f>
        <v>0</v>
      </c>
      <c r="BW881" s="581">
        <f>BW879</f>
        <v>0</v>
      </c>
      <c r="BX881" s="582" t="str">
        <f>IF(BU881=0," ",(BW881-BU881)/BU881)</f>
        <v xml:space="preserve"> </v>
      </c>
      <c r="BY881" s="573"/>
      <c r="BZ881" s="581">
        <f>BZ879</f>
        <v>0</v>
      </c>
      <c r="CA881" s="581">
        <f>CA879</f>
        <v>0</v>
      </c>
      <c r="CB881" s="573"/>
      <c r="CC881" s="764"/>
      <c r="CD881" s="573"/>
      <c r="CE881" s="581">
        <f>CE879</f>
        <v>0</v>
      </c>
      <c r="CF881" s="581">
        <f>CF879</f>
        <v>0</v>
      </c>
      <c r="CH881" s="812"/>
      <c r="CI881" s="812"/>
      <c r="CJ881" s="887"/>
      <c r="CO881" s="16"/>
    </row>
    <row r="882" spans="1:93" ht="20.100000000000001" customHeight="1" x14ac:dyDescent="0.3">
      <c r="AS882" s="16"/>
      <c r="CO882" s="16"/>
    </row>
    <row r="883" spans="1:93" s="1" customFormat="1" ht="15.6" x14ac:dyDescent="0.3">
      <c r="A883" s="14" t="s">
        <v>1247</v>
      </c>
      <c r="B883" s="2"/>
      <c r="C883" s="36"/>
      <c r="D883" s="36"/>
      <c r="E883" s="48"/>
      <c r="F883" s="2"/>
      <c r="G883" s="2"/>
      <c r="H883" s="15"/>
      <c r="I883" s="15"/>
      <c r="J883" s="15"/>
      <c r="K883" s="121"/>
      <c r="M883" s="15"/>
      <c r="N883" s="15"/>
      <c r="P883" s="133"/>
      <c r="R883" s="15"/>
      <c r="S883" s="15"/>
      <c r="U883" s="15"/>
      <c r="V883" s="15"/>
      <c r="W883" s="15"/>
      <c r="X883" s="121"/>
      <c r="Z883" s="15"/>
      <c r="AA883" s="15"/>
      <c r="AC883" s="133"/>
      <c r="AE883" s="15"/>
      <c r="AF883" s="196"/>
      <c r="AH883" s="15"/>
      <c r="AI883" s="15"/>
      <c r="AJ883" s="15"/>
      <c r="AK883" s="121"/>
      <c r="AM883" s="15"/>
      <c r="AN883" s="15"/>
      <c r="AP883" s="133"/>
      <c r="AR883" s="15"/>
      <c r="AS883" s="15"/>
      <c r="AU883" s="15"/>
      <c r="AV883" s="15"/>
      <c r="AW883" s="15"/>
      <c r="AX883" s="121"/>
      <c r="AZ883" s="15"/>
      <c r="BA883" s="15"/>
      <c r="BC883" s="133"/>
      <c r="BE883" s="15"/>
      <c r="BF883" s="15"/>
      <c r="BH883" s="15"/>
      <c r="BI883" s="15"/>
      <c r="BJ883" s="15"/>
      <c r="BK883" s="121"/>
      <c r="BM883" s="15"/>
      <c r="BN883" s="15"/>
      <c r="BP883" s="234"/>
      <c r="BR883" s="15"/>
      <c r="BS883" s="15"/>
      <c r="BU883" s="15"/>
      <c r="BV883" s="529"/>
      <c r="BW883" s="574"/>
      <c r="BX883" s="575"/>
      <c r="BY883" s="573"/>
      <c r="BZ883" s="574"/>
      <c r="CA883" s="574"/>
      <c r="CB883" s="573"/>
      <c r="CC883" s="761"/>
      <c r="CD883" s="573"/>
      <c r="CE883" s="574"/>
      <c r="CF883" s="574"/>
      <c r="CH883" s="812"/>
      <c r="CI883" s="812"/>
      <c r="CJ883" s="887"/>
      <c r="CO883" s="16"/>
    </row>
    <row r="884" spans="1:93" x14ac:dyDescent="0.3">
      <c r="A884" s="11">
        <v>910</v>
      </c>
      <c r="B884" s="3" t="s">
        <v>2</v>
      </c>
      <c r="C884" s="37">
        <v>91005</v>
      </c>
      <c r="D884" s="37">
        <v>51700</v>
      </c>
      <c r="F884" s="3" t="s">
        <v>2</v>
      </c>
      <c r="G884" s="3" t="s">
        <v>462</v>
      </c>
      <c r="H884" s="26">
        <v>1057155</v>
      </c>
      <c r="I884" s="244">
        <v>34812</v>
      </c>
      <c r="J884" s="16">
        <f t="shared" ref="J884" si="452">H884+I884</f>
        <v>1091967</v>
      </c>
      <c r="K884" s="122">
        <f t="shared" ref="K884" si="453">IF(H884=0," ",(J884-H884)/H884)</f>
        <v>3.2929892021510566E-2</v>
      </c>
      <c r="M884" s="117">
        <v>1076261</v>
      </c>
      <c r="N884" s="117">
        <v>1076261</v>
      </c>
      <c r="P884" s="259" t="s">
        <v>526</v>
      </c>
      <c r="R884" s="26">
        <v>1076261</v>
      </c>
      <c r="S884" s="26">
        <v>1056547</v>
      </c>
      <c r="U884" s="26">
        <v>1076261</v>
      </c>
      <c r="V884" s="244">
        <v>64080</v>
      </c>
      <c r="W884" s="16">
        <f t="shared" ref="W884" si="454">U884+V884</f>
        <v>1140341</v>
      </c>
      <c r="X884" s="122">
        <f t="shared" ref="X884" si="455">IF(U884=0," ",(W884-U884)/U884)</f>
        <v>5.953946115301028E-2</v>
      </c>
      <c r="Z884" s="117">
        <v>1140341</v>
      </c>
      <c r="AA884" s="117">
        <v>1140341</v>
      </c>
      <c r="AC884" s="259" t="s">
        <v>649</v>
      </c>
      <c r="AE884" s="26">
        <v>1140341</v>
      </c>
      <c r="AF884" s="200">
        <v>1118667</v>
      </c>
      <c r="AH884" s="26">
        <v>1140341</v>
      </c>
      <c r="AI884" s="244"/>
      <c r="AJ884" s="16">
        <f t="shared" ref="AJ884" si="456">AH884+AI884</f>
        <v>1140341</v>
      </c>
      <c r="AK884" s="122">
        <f t="shared" ref="AK884" si="457">IF(AH884=0," ",(AJ884-AH884)/AH884)</f>
        <v>0</v>
      </c>
      <c r="AM884" s="117">
        <v>1224339</v>
      </c>
      <c r="AN884" s="117">
        <v>1224339</v>
      </c>
      <c r="AP884" s="266" t="s">
        <v>824</v>
      </c>
      <c r="AR884" s="26">
        <v>1224339</v>
      </c>
      <c r="AS884" s="26">
        <v>1224339</v>
      </c>
      <c r="AU884" s="26">
        <f>AR884</f>
        <v>1224339</v>
      </c>
      <c r="AV884" s="244">
        <v>140858</v>
      </c>
      <c r="AW884" s="16">
        <f t="shared" ref="AW884" si="458">AU884+AV884</f>
        <v>1365197</v>
      </c>
      <c r="AX884" s="122">
        <f t="shared" ref="AX884" si="459">IF(AU884=0," ",(AW884-AU884)/AU884)</f>
        <v>0.11504820151935044</v>
      </c>
      <c r="AZ884" s="117">
        <v>1365197</v>
      </c>
      <c r="BA884" s="117">
        <v>1365197</v>
      </c>
      <c r="BC884" s="319" t="s">
        <v>989</v>
      </c>
      <c r="BE884" s="26">
        <v>1365197</v>
      </c>
      <c r="BF884" s="26">
        <v>1365197</v>
      </c>
      <c r="BH884" s="26">
        <v>1365197</v>
      </c>
      <c r="BI884" s="244">
        <v>66836</v>
      </c>
      <c r="BJ884" s="16">
        <f t="shared" ref="BJ884" si="460">BH884+BI884</f>
        <v>1432033</v>
      </c>
      <c r="BK884" s="122">
        <f t="shared" ref="BK884" si="461">IF(BH884=0," ",(BJ884-BH884)/BH884)</f>
        <v>4.8957036969756014E-2</v>
      </c>
      <c r="BM884" s="117">
        <v>1432033</v>
      </c>
      <c r="BN884" s="117">
        <v>1432033</v>
      </c>
      <c r="BP884" s="259" t="s">
        <v>1315</v>
      </c>
      <c r="BR884" s="117">
        <v>1432033</v>
      </c>
      <c r="BS884" s="26">
        <v>1432033</v>
      </c>
      <c r="BU884" s="26">
        <v>1432033</v>
      </c>
      <c r="BV884" s="244">
        <v>115113</v>
      </c>
      <c r="BW884" s="576">
        <f t="shared" ref="BW884" si="462">BU884+BV884</f>
        <v>1547146</v>
      </c>
      <c r="BX884" s="577">
        <f t="shared" ref="BX884" si="463">IF(BU884=0," ",(BW884-BU884)/BU884)</f>
        <v>8.03843207523849E-2</v>
      </c>
      <c r="BZ884" s="166">
        <v>1547146</v>
      </c>
      <c r="CA884" s="166">
        <v>1547146</v>
      </c>
      <c r="CC884" s="430" t="s">
        <v>1337</v>
      </c>
      <c r="CE884" s="166">
        <v>1547146</v>
      </c>
      <c r="CF884" s="166"/>
      <c r="CO884" s="16"/>
    </row>
    <row r="885" spans="1:93" s="19" customFormat="1" x14ac:dyDescent="0.3">
      <c r="A885" s="27"/>
      <c r="B885" s="8"/>
      <c r="C885" s="42"/>
      <c r="D885" s="42"/>
      <c r="E885" s="54"/>
      <c r="F885" s="8"/>
      <c r="G885" s="57" t="s">
        <v>1248</v>
      </c>
      <c r="H885" s="28">
        <f>SUM(H884)</f>
        <v>1057155</v>
      </c>
      <c r="I885" s="28">
        <f>SUM(I884)</f>
        <v>34812</v>
      </c>
      <c r="J885" s="28">
        <f>SUM(J884)</f>
        <v>1091967</v>
      </c>
      <c r="K885" s="123">
        <f>IF(H885=0," ",(J885-H885)/H885)</f>
        <v>3.2929892021510566E-2</v>
      </c>
      <c r="M885" s="28">
        <f>SUM(M884)</f>
        <v>1076261</v>
      </c>
      <c r="N885" s="28">
        <f>SUM(N884)</f>
        <v>1076261</v>
      </c>
      <c r="P885" s="139">
        <f>SUM(P884:P884)</f>
        <v>0</v>
      </c>
      <c r="R885" s="28">
        <f>SUM(R884)</f>
        <v>1076261</v>
      </c>
      <c r="S885" s="28">
        <f>SUM(S884)</f>
        <v>1056547</v>
      </c>
      <c r="U885" s="28">
        <f>SUM(U884)</f>
        <v>1076261</v>
      </c>
      <c r="V885" s="28">
        <f>SUM(V884)</f>
        <v>64080</v>
      </c>
      <c r="W885" s="28">
        <f>SUM(W884)</f>
        <v>1140341</v>
      </c>
      <c r="X885" s="123">
        <f>IF(U885=0," ",(W885-U885)/U885)</f>
        <v>5.953946115301028E-2</v>
      </c>
      <c r="Z885" s="28">
        <f>SUM(Z884)</f>
        <v>1140341</v>
      </c>
      <c r="AA885" s="28">
        <f>SUM(AA884)</f>
        <v>1140341</v>
      </c>
      <c r="AC885" s="139"/>
      <c r="AE885" s="28">
        <f>SUM(AE884)</f>
        <v>1140341</v>
      </c>
      <c r="AF885" s="28">
        <f>SUM(AF884)</f>
        <v>1118667</v>
      </c>
      <c r="AH885" s="28">
        <f>SUM(AH884)</f>
        <v>1140341</v>
      </c>
      <c r="AI885" s="28">
        <f>SUM(AI884)</f>
        <v>0</v>
      </c>
      <c r="AJ885" s="28">
        <f>SUM(AJ884)</f>
        <v>1140341</v>
      </c>
      <c r="AK885" s="123">
        <f>IF(AH885=0," ",(AJ885-AH885)/AH885)</f>
        <v>0</v>
      </c>
      <c r="AM885" s="28">
        <f>SUM(AM884)</f>
        <v>1224339</v>
      </c>
      <c r="AN885" s="28">
        <f>SUM(AN884)</f>
        <v>1224339</v>
      </c>
      <c r="AP885" s="139"/>
      <c r="AR885" s="28">
        <f>SUM(AR884)</f>
        <v>1224339</v>
      </c>
      <c r="AS885" s="28">
        <f>SUM(AS884)</f>
        <v>1224339</v>
      </c>
      <c r="AU885" s="28">
        <f>SUM(AU884)</f>
        <v>1224339</v>
      </c>
      <c r="AV885" s="28">
        <f>SUM(AV884)</f>
        <v>140858</v>
      </c>
      <c r="AW885" s="28">
        <f>SUM(AW884)</f>
        <v>1365197</v>
      </c>
      <c r="AX885" s="123">
        <f>IF(AU885=0," ",(AW885-AU885)/AU885)</f>
        <v>0.11504820151935044</v>
      </c>
      <c r="AZ885" s="28">
        <f>SUM(AZ884)</f>
        <v>1365197</v>
      </c>
      <c r="BA885" s="28">
        <f>SUM(BA884)</f>
        <v>1365197</v>
      </c>
      <c r="BC885" s="139"/>
      <c r="BE885" s="28">
        <f>SUM(BE884)</f>
        <v>1365197</v>
      </c>
      <c r="BF885" s="28">
        <f>SUM(BF884)</f>
        <v>1365197</v>
      </c>
      <c r="BG885" s="9"/>
      <c r="BH885" s="28">
        <f>SUM(BH884)</f>
        <v>1365197</v>
      </c>
      <c r="BI885" s="28">
        <f>SUM(BI884)</f>
        <v>66836</v>
      </c>
      <c r="BJ885" s="28">
        <f>SUM(BJ884)</f>
        <v>1432033</v>
      </c>
      <c r="BK885" s="123">
        <f>IF(BH885=0," ",(BJ885-BH885)/BH885)</f>
        <v>4.8957036969756014E-2</v>
      </c>
      <c r="BM885" s="28">
        <f>SUM(BM884)</f>
        <v>1432033</v>
      </c>
      <c r="BN885" s="28">
        <f>SUM(BN884)</f>
        <v>1432033</v>
      </c>
      <c r="BP885" s="139"/>
      <c r="BR885" s="28">
        <f>SUM(BR884)</f>
        <v>1432033</v>
      </c>
      <c r="BS885" s="28">
        <f>SUM(BS884)</f>
        <v>1432033</v>
      </c>
      <c r="BT885" s="9"/>
      <c r="BU885" s="28">
        <f>SUM(BU884)</f>
        <v>1432033</v>
      </c>
      <c r="BV885" s="28">
        <f>SUM(BV884)</f>
        <v>115113</v>
      </c>
      <c r="BW885" s="28">
        <f>SUM(BW884)</f>
        <v>1547146</v>
      </c>
      <c r="BX885" s="579">
        <f>IF(BU885=0," ",(BW885-BU885)/BU885)</f>
        <v>8.03843207523849E-2</v>
      </c>
      <c r="BY885" s="580"/>
      <c r="BZ885" s="28">
        <f>SUM(BZ884)</f>
        <v>1547146</v>
      </c>
      <c r="CA885" s="28">
        <f>SUM(CA884)</f>
        <v>1547146</v>
      </c>
      <c r="CB885" s="580"/>
      <c r="CC885" s="769"/>
      <c r="CD885" s="580"/>
      <c r="CE885" s="28">
        <f>SUM(CE884)</f>
        <v>1547146</v>
      </c>
      <c r="CF885" s="28">
        <f>SUM(CF884)</f>
        <v>0</v>
      </c>
      <c r="CG885" s="9"/>
      <c r="CH885" s="815"/>
      <c r="CI885" s="815"/>
      <c r="CJ885" s="887"/>
      <c r="CO885" s="16"/>
    </row>
    <row r="886" spans="1:93" ht="9.9" customHeight="1" x14ac:dyDescent="0.3">
      <c r="AN886" s="26"/>
      <c r="AR886" s="26"/>
      <c r="AS886" s="26"/>
      <c r="AU886" s="26"/>
      <c r="BA886" s="26"/>
      <c r="BE886" s="26"/>
      <c r="BF886" s="26"/>
      <c r="BH886" s="26"/>
      <c r="BM886" s="26"/>
      <c r="BN886" s="26"/>
      <c r="BR886" s="26"/>
      <c r="BU886" s="26"/>
      <c r="BZ886" s="589"/>
      <c r="CA886" s="589"/>
      <c r="CE886" s="589"/>
      <c r="CF886" s="589"/>
      <c r="CO886" s="16"/>
    </row>
    <row r="887" spans="1:93" s="1" customFormat="1" x14ac:dyDescent="0.3">
      <c r="A887" s="20"/>
      <c r="B887" s="5"/>
      <c r="C887" s="39"/>
      <c r="D887" s="39"/>
      <c r="E887" s="51"/>
      <c r="F887" s="5"/>
      <c r="G887" s="21" t="s">
        <v>1249</v>
      </c>
      <c r="H887" s="22">
        <f t="shared" ref="H887:J887" si="464">H885</f>
        <v>1057155</v>
      </c>
      <c r="I887" s="22">
        <f t="shared" si="464"/>
        <v>34812</v>
      </c>
      <c r="J887" s="22">
        <f t="shared" si="464"/>
        <v>1091967</v>
      </c>
      <c r="K887" s="124">
        <f>IF(H887=0," ",(J887-H887)/H887)</f>
        <v>3.2929892021510566E-2</v>
      </c>
      <c r="M887" s="22">
        <f>M885</f>
        <v>1076261</v>
      </c>
      <c r="N887" s="22">
        <f>N885</f>
        <v>1076261</v>
      </c>
      <c r="P887" s="136">
        <f>P885</f>
        <v>0</v>
      </c>
      <c r="R887" s="22">
        <f>R885</f>
        <v>1076261</v>
      </c>
      <c r="S887" s="22">
        <f>S885</f>
        <v>1056547</v>
      </c>
      <c r="U887" s="22">
        <f>U885</f>
        <v>1076261</v>
      </c>
      <c r="V887" s="22">
        <f>V885</f>
        <v>64080</v>
      </c>
      <c r="W887" s="22">
        <f>W885</f>
        <v>1140341</v>
      </c>
      <c r="X887" s="124">
        <f>IF(U887=0," ",(W887-U887)/U887)</f>
        <v>5.953946115301028E-2</v>
      </c>
      <c r="Z887" s="22">
        <f>Z885</f>
        <v>1140341</v>
      </c>
      <c r="AA887" s="22">
        <f>AA885</f>
        <v>1140341</v>
      </c>
      <c r="AC887" s="136"/>
      <c r="AE887" s="22">
        <f>AE885</f>
        <v>1140341</v>
      </c>
      <c r="AF887" s="199">
        <f>AF885</f>
        <v>1118667</v>
      </c>
      <c r="AH887" s="22">
        <v>3453074</v>
      </c>
      <c r="AI887" s="22">
        <f>AI885</f>
        <v>0</v>
      </c>
      <c r="AJ887" s="22">
        <f>AJ885</f>
        <v>1140341</v>
      </c>
      <c r="AK887" s="124">
        <f>IF(AH887=0," ",(AJ887-AH887)/AH887)</f>
        <v>-0.66976062488090327</v>
      </c>
      <c r="AM887" s="22">
        <f>AM885</f>
        <v>1224339</v>
      </c>
      <c r="AN887" s="22">
        <f>AN885</f>
        <v>1224339</v>
      </c>
      <c r="AP887" s="136"/>
      <c r="AR887" s="22">
        <f>AR885</f>
        <v>1224339</v>
      </c>
      <c r="AS887" s="22">
        <f>AS885</f>
        <v>1224339</v>
      </c>
      <c r="AU887" s="22">
        <f>AU885</f>
        <v>1224339</v>
      </c>
      <c r="AV887" s="22">
        <f>AV885</f>
        <v>140858</v>
      </c>
      <c r="AW887" s="22">
        <f>AW885</f>
        <v>1365197</v>
      </c>
      <c r="AX887" s="124">
        <f>IF(AU887=0," ",(AW887-AU887)/AU887)</f>
        <v>0.11504820151935044</v>
      </c>
      <c r="AZ887" s="22">
        <f>AZ885</f>
        <v>1365197</v>
      </c>
      <c r="BA887" s="22">
        <f>BA885</f>
        <v>1365197</v>
      </c>
      <c r="BC887" s="136"/>
      <c r="BE887" s="22">
        <f>BE885</f>
        <v>1365197</v>
      </c>
      <c r="BF887" s="22">
        <f>BF885</f>
        <v>1365197</v>
      </c>
      <c r="BH887" s="22">
        <f>BH885</f>
        <v>1365197</v>
      </c>
      <c r="BI887" s="22">
        <f>BI885</f>
        <v>66836</v>
      </c>
      <c r="BJ887" s="22">
        <f>BJ885</f>
        <v>1432033</v>
      </c>
      <c r="BK887" s="124">
        <f>IF(BH887=0," ",(BJ887-BH887)/BH887)</f>
        <v>4.8957036969756014E-2</v>
      </c>
      <c r="BM887" s="22">
        <f>BM885</f>
        <v>1432033</v>
      </c>
      <c r="BN887" s="22">
        <f>BN885</f>
        <v>1432033</v>
      </c>
      <c r="BP887" s="136"/>
      <c r="BR887" s="22">
        <f>BR885</f>
        <v>1432033</v>
      </c>
      <c r="BS887" s="22">
        <f>BS885</f>
        <v>1432033</v>
      </c>
      <c r="BU887" s="22">
        <f>BU885</f>
        <v>1432033</v>
      </c>
      <c r="BV887" s="531">
        <f>BV885</f>
        <v>115113</v>
      </c>
      <c r="BW887" s="581">
        <f>BW885</f>
        <v>1547146</v>
      </c>
      <c r="BX887" s="582">
        <f>IF(BU887=0," ",(BW887-BU887)/BU887)</f>
        <v>8.03843207523849E-2</v>
      </c>
      <c r="BY887" s="573"/>
      <c r="BZ887" s="581">
        <f>BZ885</f>
        <v>1547146</v>
      </c>
      <c r="CA887" s="581">
        <f>CA885</f>
        <v>1547146</v>
      </c>
      <c r="CB887" s="573"/>
      <c r="CC887" s="764"/>
      <c r="CD887" s="573"/>
      <c r="CE887" s="581">
        <f>CE885</f>
        <v>1547146</v>
      </c>
      <c r="CF887" s="581">
        <f>CF885</f>
        <v>0</v>
      </c>
      <c r="CH887" s="812"/>
      <c r="CI887" s="812"/>
      <c r="CJ887" s="887"/>
      <c r="CO887" s="16"/>
    </row>
    <row r="888" spans="1:93" ht="20.100000000000001" customHeight="1" x14ac:dyDescent="0.3">
      <c r="AN888" s="26"/>
      <c r="AP888" s="135">
        <f>SUM(AM888:AO888)</f>
        <v>0</v>
      </c>
      <c r="AR888" s="26"/>
      <c r="AS888" s="26"/>
      <c r="AU888" s="26"/>
      <c r="BA888" s="26"/>
      <c r="BC888" s="135">
        <f>SUM(AZ888:BB888)</f>
        <v>0</v>
      </c>
      <c r="BE888" s="26"/>
      <c r="BF888" s="26"/>
      <c r="BH888" s="26"/>
      <c r="BM888" s="26"/>
      <c r="BN888" s="26"/>
      <c r="BP888" s="135">
        <f>SUM(BM888:BO888)</f>
        <v>0</v>
      </c>
      <c r="BR888" s="26"/>
      <c r="BU888" s="26"/>
      <c r="BZ888" s="589"/>
      <c r="CA888" s="589"/>
      <c r="CE888" s="589"/>
      <c r="CF888" s="589"/>
      <c r="CO888" s="16"/>
    </row>
    <row r="889" spans="1:93" s="1" customFormat="1" ht="15.6" x14ac:dyDescent="0.3">
      <c r="A889" s="14" t="s">
        <v>272</v>
      </c>
      <c r="B889" s="2"/>
      <c r="C889" s="36"/>
      <c r="D889" s="36"/>
      <c r="E889" s="48"/>
      <c r="F889" s="2"/>
      <c r="G889" s="2"/>
      <c r="H889" s="15"/>
      <c r="I889" s="15"/>
      <c r="J889" s="15"/>
      <c r="K889" s="121"/>
      <c r="M889" s="15"/>
      <c r="N889" s="15"/>
      <c r="P889" s="133"/>
      <c r="R889" s="15"/>
      <c r="S889" s="15"/>
      <c r="U889" s="15"/>
      <c r="V889" s="15"/>
      <c r="W889" s="15"/>
      <c r="X889" s="121"/>
      <c r="Z889" s="15"/>
      <c r="AA889" s="15"/>
      <c r="AC889" s="133"/>
      <c r="AE889" s="15"/>
      <c r="AF889" s="196"/>
      <c r="AH889" s="15"/>
      <c r="AI889" s="15"/>
      <c r="AJ889" s="15"/>
      <c r="AK889" s="121"/>
      <c r="AM889" s="15"/>
      <c r="AN889" s="15"/>
      <c r="AP889" s="133"/>
      <c r="AR889" s="15"/>
      <c r="AS889" s="15"/>
      <c r="AU889" s="15"/>
      <c r="AV889" s="15"/>
      <c r="AW889" s="15"/>
      <c r="AX889" s="121"/>
      <c r="AZ889" s="15"/>
      <c r="BA889" s="15"/>
      <c r="BC889" s="133"/>
      <c r="BE889" s="15"/>
      <c r="BF889" s="15"/>
      <c r="BH889" s="15"/>
      <c r="BI889" s="15"/>
      <c r="BJ889" s="15"/>
      <c r="BK889" s="121"/>
      <c r="BM889" s="15"/>
      <c r="BN889" s="15"/>
      <c r="BP889" s="234"/>
      <c r="BR889" s="15"/>
      <c r="BS889" s="15"/>
      <c r="BU889" s="15"/>
      <c r="BV889" s="529"/>
      <c r="BW889" s="574"/>
      <c r="BX889" s="575"/>
      <c r="BY889" s="573"/>
      <c r="BZ889" s="574"/>
      <c r="CA889" s="574"/>
      <c r="CB889" s="573"/>
      <c r="CC889" s="761"/>
      <c r="CD889" s="573"/>
      <c r="CE889" s="574"/>
      <c r="CF889" s="574"/>
      <c r="CH889" s="812"/>
      <c r="CI889" s="812"/>
      <c r="CJ889" s="887"/>
      <c r="CO889" s="16"/>
    </row>
    <row r="890" spans="1:93" x14ac:dyDescent="0.3">
      <c r="A890" s="11">
        <v>913</v>
      </c>
      <c r="B890" s="3" t="s">
        <v>2</v>
      </c>
      <c r="C890" s="37">
        <v>91305</v>
      </c>
      <c r="D890" s="37">
        <v>51720</v>
      </c>
      <c r="F890" s="3" t="s">
        <v>2</v>
      </c>
      <c r="G890" s="3" t="s">
        <v>507</v>
      </c>
      <c r="H890" s="26">
        <v>60000</v>
      </c>
      <c r="I890" s="244"/>
      <c r="J890" s="16">
        <f t="shared" ref="J890:J895" si="465">H890+I890</f>
        <v>60000</v>
      </c>
      <c r="K890" s="122">
        <f t="shared" ref="K890:K895" si="466">IF(H890=0," ",(J890-H890)/H890)</f>
        <v>0</v>
      </c>
      <c r="M890" s="117">
        <v>60000</v>
      </c>
      <c r="N890" s="117">
        <v>60000</v>
      </c>
      <c r="P890" s="259"/>
      <c r="R890" s="26">
        <v>60000</v>
      </c>
      <c r="S890" s="26">
        <v>0</v>
      </c>
      <c r="U890" s="26">
        <v>60000</v>
      </c>
      <c r="V890" s="244">
        <v>-60000</v>
      </c>
      <c r="W890" s="16">
        <f t="shared" ref="W890:W895" si="467">U890+V890</f>
        <v>0</v>
      </c>
      <c r="X890" s="122">
        <f t="shared" ref="X890:X895" si="468">IF(U890=0," ",(W890-U890)/U890)</f>
        <v>-1</v>
      </c>
      <c r="Z890" s="117">
        <v>0</v>
      </c>
      <c r="AA890" s="117">
        <v>0</v>
      </c>
      <c r="AC890" s="205" t="s">
        <v>646</v>
      </c>
      <c r="AE890" s="26">
        <v>0</v>
      </c>
      <c r="AF890" s="200">
        <v>0</v>
      </c>
      <c r="AH890" s="26">
        <v>0</v>
      </c>
      <c r="AI890" s="244"/>
      <c r="AJ890" s="16">
        <f t="shared" ref="AJ890:AJ895" si="469">AH890+AI890</f>
        <v>0</v>
      </c>
      <c r="AK890" s="122" t="str">
        <f t="shared" ref="AK890:AK895" si="470">IF(AH890=0," ",(AJ890-AH890)/AH890)</f>
        <v xml:space="preserve"> </v>
      </c>
      <c r="AM890" s="117"/>
      <c r="AN890" s="117"/>
      <c r="AP890" s="205"/>
      <c r="AR890" s="26"/>
      <c r="AS890" s="26">
        <v>0</v>
      </c>
      <c r="AU890" s="26">
        <f t="shared" ref="AU890:AU895" si="471">AR890</f>
        <v>0</v>
      </c>
      <c r="AV890" s="244"/>
      <c r="AW890" s="16">
        <f t="shared" ref="AW890:AW895" si="472">AU890+AV890</f>
        <v>0</v>
      </c>
      <c r="AX890" s="122" t="str">
        <f t="shared" ref="AX890:AX895" si="473">IF(AU890=0," ",(AW890-AU890)/AU890)</f>
        <v xml:space="preserve"> </v>
      </c>
      <c r="AZ890" s="117">
        <v>0</v>
      </c>
      <c r="BA890" s="117">
        <v>0</v>
      </c>
      <c r="BC890" s="205"/>
      <c r="BE890" s="26">
        <v>0</v>
      </c>
      <c r="BF890" s="26"/>
      <c r="BH890" s="26">
        <v>0</v>
      </c>
      <c r="BI890" s="244"/>
      <c r="BJ890" s="16">
        <f t="shared" ref="BJ890:BJ895" si="474">BH890+BI890</f>
        <v>0</v>
      </c>
      <c r="BK890" s="122" t="str">
        <f t="shared" ref="BK890:BK895" si="475">IF(BH890=0," ",(BJ890-BH890)/BH890)</f>
        <v xml:space="preserve"> </v>
      </c>
      <c r="BM890" s="117">
        <v>0</v>
      </c>
      <c r="BN890" s="117"/>
      <c r="BP890" s="205"/>
      <c r="BR890" s="117"/>
      <c r="BS890" s="26"/>
      <c r="BU890" s="26"/>
      <c r="BV890" s="244"/>
      <c r="BW890" s="576">
        <f t="shared" ref="BW890:BW895" si="476">BU890+BV890</f>
        <v>0</v>
      </c>
      <c r="BX890" s="577" t="str">
        <f t="shared" ref="BX890:BX895" si="477">IF(BU890=0," ",(BW890-BU890)/BU890)</f>
        <v xml:space="preserve"> </v>
      </c>
      <c r="BZ890" s="166">
        <v>0</v>
      </c>
      <c r="CA890" s="166">
        <v>0</v>
      </c>
      <c r="CC890" s="784"/>
      <c r="CE890" s="166">
        <v>0</v>
      </c>
      <c r="CF890" s="166"/>
      <c r="CO890" s="16"/>
    </row>
    <row r="891" spans="1:93" ht="14.4" x14ac:dyDescent="0.3">
      <c r="A891" s="11">
        <v>915</v>
      </c>
      <c r="B891" s="3" t="s">
        <v>2</v>
      </c>
      <c r="C891" s="37">
        <v>91505</v>
      </c>
      <c r="D891" s="37">
        <v>51730</v>
      </c>
      <c r="F891" s="3" t="s">
        <v>2</v>
      </c>
      <c r="G891" s="3" t="s">
        <v>463</v>
      </c>
      <c r="H891" s="26">
        <v>2038793</v>
      </c>
      <c r="I891" s="244">
        <v>86207</v>
      </c>
      <c r="J891" s="16">
        <f t="shared" si="465"/>
        <v>2125000</v>
      </c>
      <c r="K891" s="122">
        <f t="shared" si="466"/>
        <v>4.2283350982664746E-2</v>
      </c>
      <c r="M891" s="117">
        <v>2125000</v>
      </c>
      <c r="N891" s="117">
        <v>2100000</v>
      </c>
      <c r="P891" s="259" t="s">
        <v>614</v>
      </c>
      <c r="R891" s="30">
        <f>2125000-25000</f>
        <v>2100000</v>
      </c>
      <c r="S891" s="30">
        <v>1820418.12</v>
      </c>
      <c r="U891" s="30">
        <f>2125000-25000</f>
        <v>2100000</v>
      </c>
      <c r="V891" s="244"/>
      <c r="W891" s="16">
        <f t="shared" si="467"/>
        <v>2100000</v>
      </c>
      <c r="X891" s="122">
        <f t="shared" si="468"/>
        <v>0</v>
      </c>
      <c r="Z891" s="117">
        <v>2100000</v>
      </c>
      <c r="AA891" s="117">
        <v>2100000</v>
      </c>
      <c r="AC891" s="259" t="s">
        <v>746</v>
      </c>
      <c r="AE891" s="26">
        <v>2100000</v>
      </c>
      <c r="AF891" s="200">
        <v>1942446.06</v>
      </c>
      <c r="AH891" s="26">
        <v>2100000</v>
      </c>
      <c r="AI891" s="244"/>
      <c r="AJ891" s="16">
        <f t="shared" si="469"/>
        <v>2100000</v>
      </c>
      <c r="AK891" s="122">
        <f t="shared" si="470"/>
        <v>0</v>
      </c>
      <c r="AM891" s="117">
        <v>2100000</v>
      </c>
      <c r="AN891" s="117">
        <v>2100000</v>
      </c>
      <c r="AP891" s="297" t="s">
        <v>825</v>
      </c>
      <c r="AR891" s="26">
        <v>2100000</v>
      </c>
      <c r="AS891" s="26">
        <v>1996182.28</v>
      </c>
      <c r="AU891" s="26">
        <f t="shared" si="471"/>
        <v>2100000</v>
      </c>
      <c r="AV891" s="244"/>
      <c r="AW891" s="16">
        <f t="shared" si="472"/>
        <v>2100000</v>
      </c>
      <c r="AX891" s="122">
        <f t="shared" si="473"/>
        <v>0</v>
      </c>
      <c r="AZ891" s="117">
        <v>2100000</v>
      </c>
      <c r="BA891" s="117">
        <v>2100000</v>
      </c>
      <c r="BC891" s="297"/>
      <c r="BE891" s="26">
        <v>2100000</v>
      </c>
      <c r="BF891" s="26">
        <v>1776656.14</v>
      </c>
      <c r="BH891" s="26">
        <v>2100000</v>
      </c>
      <c r="BI891" s="244">
        <v>160000</v>
      </c>
      <c r="BJ891" s="16">
        <f t="shared" si="474"/>
        <v>2260000</v>
      </c>
      <c r="BK891" s="122">
        <f t="shared" si="475"/>
        <v>7.6190476190476197E-2</v>
      </c>
      <c r="BM891" s="117">
        <v>2100000</v>
      </c>
      <c r="BN891" s="216">
        <v>2050000</v>
      </c>
      <c r="BP891" s="319"/>
      <c r="BR891" s="117">
        <v>2050000</v>
      </c>
      <c r="BS891" s="26">
        <v>831844.93</v>
      </c>
      <c r="BU891" s="26">
        <v>2050000</v>
      </c>
      <c r="BV891" s="244">
        <v>176000</v>
      </c>
      <c r="BW891" s="576">
        <f t="shared" si="476"/>
        <v>2226000</v>
      </c>
      <c r="BX891" s="577">
        <f t="shared" si="477"/>
        <v>8.5853658536585373E-2</v>
      </c>
      <c r="BZ891" s="166">
        <v>2226000</v>
      </c>
      <c r="CA891" s="863">
        <v>2130000</v>
      </c>
      <c r="CC891" s="430" t="s">
        <v>1592</v>
      </c>
      <c r="CE891" s="863">
        <v>2130000</v>
      </c>
      <c r="CF891" s="166"/>
      <c r="CH891" s="861"/>
      <c r="CI891" s="861"/>
      <c r="CK891" s="730"/>
      <c r="CO891" s="16"/>
    </row>
    <row r="892" spans="1:93" x14ac:dyDescent="0.3">
      <c r="A892" s="11">
        <v>915</v>
      </c>
      <c r="B892" s="3" t="s">
        <v>2</v>
      </c>
      <c r="C892" s="37">
        <v>91505</v>
      </c>
      <c r="D892" s="37">
        <v>51740</v>
      </c>
      <c r="F892" s="3" t="s">
        <v>2</v>
      </c>
      <c r="G892" s="3" t="s">
        <v>464</v>
      </c>
      <c r="H892" s="26">
        <v>6855</v>
      </c>
      <c r="I892" s="244"/>
      <c r="J892" s="16">
        <f t="shared" si="465"/>
        <v>6855</v>
      </c>
      <c r="K892" s="122">
        <f t="shared" si="466"/>
        <v>0</v>
      </c>
      <c r="M892" s="117">
        <v>6855</v>
      </c>
      <c r="N892" s="117">
        <v>6855</v>
      </c>
      <c r="P892" s="259"/>
      <c r="R892" s="26">
        <v>6855</v>
      </c>
      <c r="S892" s="26">
        <v>4333.92</v>
      </c>
      <c r="U892" s="26">
        <v>6855</v>
      </c>
      <c r="V892" s="244"/>
      <c r="W892" s="16">
        <f t="shared" si="467"/>
        <v>6855</v>
      </c>
      <c r="X892" s="122">
        <f t="shared" si="468"/>
        <v>0</v>
      </c>
      <c r="Z892" s="117">
        <v>6855</v>
      </c>
      <c r="AA892" s="117">
        <v>6855</v>
      </c>
      <c r="AC892" s="259"/>
      <c r="AE892" s="26">
        <v>6855</v>
      </c>
      <c r="AF892" s="200">
        <v>4833.22</v>
      </c>
      <c r="AH892" s="26">
        <v>6855</v>
      </c>
      <c r="AI892" s="244"/>
      <c r="AJ892" s="16">
        <f t="shared" si="469"/>
        <v>6855</v>
      </c>
      <c r="AK892" s="122">
        <f t="shared" si="470"/>
        <v>0</v>
      </c>
      <c r="AM892" s="117">
        <v>6855</v>
      </c>
      <c r="AN892" s="117">
        <v>6855</v>
      </c>
      <c r="AP892" s="259"/>
      <c r="AR892" s="26">
        <v>6855</v>
      </c>
      <c r="AS892" s="26">
        <v>5103.74</v>
      </c>
      <c r="AU892" s="26">
        <f t="shared" si="471"/>
        <v>6855</v>
      </c>
      <c r="AV892" s="244"/>
      <c r="AW892" s="16">
        <f t="shared" si="472"/>
        <v>6855</v>
      </c>
      <c r="AX892" s="122">
        <f t="shared" si="473"/>
        <v>0</v>
      </c>
      <c r="AZ892" s="117">
        <v>6855</v>
      </c>
      <c r="BA892" s="117">
        <v>6855</v>
      </c>
      <c r="BC892" s="259"/>
      <c r="BE892" s="26">
        <v>6855</v>
      </c>
      <c r="BF892" s="26">
        <v>4474.37</v>
      </c>
      <c r="BH892" s="26">
        <v>6855</v>
      </c>
      <c r="BI892" s="244"/>
      <c r="BJ892" s="16">
        <f t="shared" si="474"/>
        <v>6855</v>
      </c>
      <c r="BK892" s="122">
        <f t="shared" si="475"/>
        <v>0</v>
      </c>
      <c r="BM892" s="117">
        <v>6855</v>
      </c>
      <c r="BN892" s="117">
        <v>6855</v>
      </c>
      <c r="BP892" s="259"/>
      <c r="BR892" s="117">
        <v>6855</v>
      </c>
      <c r="BS892" s="26">
        <v>2008.42</v>
      </c>
      <c r="BU892" s="26">
        <v>6855</v>
      </c>
      <c r="BV892" s="244">
        <v>-350</v>
      </c>
      <c r="BW892" s="576">
        <f t="shared" si="476"/>
        <v>6505</v>
      </c>
      <c r="BX892" s="577">
        <f t="shared" si="477"/>
        <v>-5.1057622173595912E-2</v>
      </c>
      <c r="BZ892" s="166">
        <v>6505</v>
      </c>
      <c r="CA892" s="166">
        <v>6505</v>
      </c>
      <c r="CC892" s="753"/>
      <c r="CE892" s="166">
        <v>6505</v>
      </c>
      <c r="CF892" s="166"/>
      <c r="CK892" s="16"/>
      <c r="CO892" s="16"/>
    </row>
    <row r="893" spans="1:93" x14ac:dyDescent="0.3">
      <c r="A893" s="11">
        <v>915</v>
      </c>
      <c r="B893" s="3" t="s">
        <v>2</v>
      </c>
      <c r="C893" s="37">
        <v>91505</v>
      </c>
      <c r="D893" s="37">
        <v>51750</v>
      </c>
      <c r="F893" s="3" t="s">
        <v>2</v>
      </c>
      <c r="G893" s="3" t="s">
        <v>465</v>
      </c>
      <c r="H893" s="26">
        <v>175266</v>
      </c>
      <c r="I893" s="244">
        <v>8763</v>
      </c>
      <c r="J893" s="16">
        <f t="shared" si="465"/>
        <v>184029</v>
      </c>
      <c r="K893" s="122">
        <f t="shared" si="466"/>
        <v>4.9998288316045324E-2</v>
      </c>
      <c r="M893" s="117">
        <v>184029</v>
      </c>
      <c r="N893" s="117">
        <v>184029</v>
      </c>
      <c r="P893" s="259"/>
      <c r="R893" s="26">
        <v>184029</v>
      </c>
      <c r="S893" s="26">
        <v>162167</v>
      </c>
      <c r="U893" s="26">
        <v>184029</v>
      </c>
      <c r="V893" s="244"/>
      <c r="W893" s="16">
        <f t="shared" si="467"/>
        <v>184029</v>
      </c>
      <c r="X893" s="122">
        <f t="shared" si="468"/>
        <v>0</v>
      </c>
      <c r="Z893" s="117">
        <v>184029</v>
      </c>
      <c r="AA893" s="117">
        <f>184029+8649</f>
        <v>192678</v>
      </c>
      <c r="AC893" s="259" t="s">
        <v>747</v>
      </c>
      <c r="AE893" s="26">
        <f>184029+8649</f>
        <v>192678</v>
      </c>
      <c r="AF893" s="200">
        <v>164627.76999999999</v>
      </c>
      <c r="AH893" s="26">
        <v>192678</v>
      </c>
      <c r="AI893" s="244"/>
      <c r="AJ893" s="16">
        <f t="shared" si="469"/>
        <v>192678</v>
      </c>
      <c r="AK893" s="122">
        <f t="shared" si="470"/>
        <v>0</v>
      </c>
      <c r="AM893" s="117">
        <f>192678+3854</f>
        <v>196532</v>
      </c>
      <c r="AN893" s="117">
        <f>192678+3854</f>
        <v>196532</v>
      </c>
      <c r="AP893" s="266" t="s">
        <v>826</v>
      </c>
      <c r="AR893" s="26">
        <f>192678+3854</f>
        <v>196532</v>
      </c>
      <c r="AS893" s="26">
        <v>174212.33</v>
      </c>
      <c r="AU893" s="26">
        <f t="shared" si="471"/>
        <v>196532</v>
      </c>
      <c r="AV893" s="244">
        <v>9400</v>
      </c>
      <c r="AW893" s="16">
        <f t="shared" si="472"/>
        <v>205932</v>
      </c>
      <c r="AX893" s="122">
        <f t="shared" si="473"/>
        <v>4.7829361121852931E-2</v>
      </c>
      <c r="AZ893" s="117">
        <v>205932</v>
      </c>
      <c r="BA893" s="117">
        <v>205932</v>
      </c>
      <c r="BC893" s="319" t="s">
        <v>990</v>
      </c>
      <c r="BE893" s="26">
        <v>205932</v>
      </c>
      <c r="BF893" s="26">
        <v>177821.33</v>
      </c>
      <c r="BH893" s="26">
        <v>205932</v>
      </c>
      <c r="BI893" s="244">
        <v>4200</v>
      </c>
      <c r="BJ893" s="16">
        <f t="shared" si="474"/>
        <v>210132</v>
      </c>
      <c r="BK893" s="122">
        <f t="shared" si="475"/>
        <v>2.0395081871685799E-2</v>
      </c>
      <c r="BM893" s="117">
        <v>210132</v>
      </c>
      <c r="BN893" s="117">
        <v>210132</v>
      </c>
      <c r="BP893" s="319"/>
      <c r="BR893" s="117">
        <v>210132</v>
      </c>
      <c r="BS893" s="26">
        <v>80863.399999999994</v>
      </c>
      <c r="BU893" s="26">
        <v>210132</v>
      </c>
      <c r="BV893" s="244"/>
      <c r="BW893" s="576">
        <f t="shared" si="476"/>
        <v>210132</v>
      </c>
      <c r="BX893" s="577">
        <f t="shared" si="477"/>
        <v>0</v>
      </c>
      <c r="BZ893" s="166">
        <v>210132</v>
      </c>
      <c r="CA893" s="166">
        <v>210132</v>
      </c>
      <c r="CC893" s="753"/>
      <c r="CE893" s="166">
        <v>210132</v>
      </c>
      <c r="CF893" s="166"/>
      <c r="CK893" s="16"/>
      <c r="CO893" s="16"/>
    </row>
    <row r="894" spans="1:93" x14ac:dyDescent="0.3">
      <c r="A894" s="11">
        <v>915</v>
      </c>
      <c r="B894" s="3" t="s">
        <v>2</v>
      </c>
      <c r="C894" s="37">
        <v>91505</v>
      </c>
      <c r="D894" s="37">
        <v>51770</v>
      </c>
      <c r="F894" s="3" t="s">
        <v>2</v>
      </c>
      <c r="G894" s="3" t="s">
        <v>466</v>
      </c>
      <c r="H894" s="26">
        <v>7200</v>
      </c>
      <c r="I894" s="244"/>
      <c r="J894" s="16">
        <f t="shared" si="465"/>
        <v>7200</v>
      </c>
      <c r="K894" s="122">
        <f t="shared" si="466"/>
        <v>0</v>
      </c>
      <c r="M894" s="117">
        <v>7200</v>
      </c>
      <c r="N894" s="117">
        <v>7200</v>
      </c>
      <c r="P894" s="259"/>
      <c r="R894" s="26">
        <v>7200</v>
      </c>
      <c r="S894" s="26">
        <v>3451</v>
      </c>
      <c r="U894" s="26">
        <v>7200</v>
      </c>
      <c r="V894" s="244"/>
      <c r="W894" s="16">
        <f t="shared" si="467"/>
        <v>7200</v>
      </c>
      <c r="X894" s="122">
        <f t="shared" si="468"/>
        <v>0</v>
      </c>
      <c r="Z894" s="117">
        <v>7200</v>
      </c>
      <c r="AA894" s="117">
        <v>7200</v>
      </c>
      <c r="AC894" s="259"/>
      <c r="AE894" s="26">
        <v>7200</v>
      </c>
      <c r="AF894" s="200">
        <v>4210</v>
      </c>
      <c r="AH894" s="26">
        <v>7200</v>
      </c>
      <c r="AI894" s="244">
        <v>-3000</v>
      </c>
      <c r="AJ894" s="16">
        <f t="shared" si="469"/>
        <v>4200</v>
      </c>
      <c r="AK894" s="122">
        <f t="shared" si="470"/>
        <v>-0.41666666666666669</v>
      </c>
      <c r="AM894" s="117">
        <v>4200</v>
      </c>
      <c r="AN894" s="117">
        <v>4200</v>
      </c>
      <c r="AP894" s="259"/>
      <c r="AR894" s="26">
        <v>4200</v>
      </c>
      <c r="AS894" s="26">
        <v>4086</v>
      </c>
      <c r="AU894" s="26">
        <f t="shared" si="471"/>
        <v>4200</v>
      </c>
      <c r="AV894" s="244"/>
      <c r="AW894" s="16">
        <f t="shared" si="472"/>
        <v>4200</v>
      </c>
      <c r="AX894" s="122">
        <f t="shared" si="473"/>
        <v>0</v>
      </c>
      <c r="AZ894" s="117">
        <v>4200</v>
      </c>
      <c r="BA894" s="117">
        <v>4200</v>
      </c>
      <c r="BC894" s="259"/>
      <c r="BE894" s="26">
        <v>4200</v>
      </c>
      <c r="BF894" s="26">
        <v>4583</v>
      </c>
      <c r="BH894" s="26">
        <v>4200</v>
      </c>
      <c r="BI894" s="244"/>
      <c r="BJ894" s="16">
        <f t="shared" si="474"/>
        <v>4200</v>
      </c>
      <c r="BK894" s="122">
        <f t="shared" si="475"/>
        <v>0</v>
      </c>
      <c r="BM894" s="117">
        <v>4200</v>
      </c>
      <c r="BN894" s="117">
        <v>4200</v>
      </c>
      <c r="BP894" s="319"/>
      <c r="BR894" s="117">
        <v>4200</v>
      </c>
      <c r="BS894" s="26">
        <v>1696</v>
      </c>
      <c r="BU894" s="26">
        <v>4200</v>
      </c>
      <c r="BV894" s="244">
        <v>350</v>
      </c>
      <c r="BW894" s="576">
        <f t="shared" si="476"/>
        <v>4550</v>
      </c>
      <c r="BX894" s="577">
        <f t="shared" si="477"/>
        <v>8.3333333333333329E-2</v>
      </c>
      <c r="BZ894" s="166">
        <v>4550</v>
      </c>
      <c r="CA894" s="166">
        <v>4550</v>
      </c>
      <c r="CC894" s="753"/>
      <c r="CE894" s="166">
        <v>4550</v>
      </c>
      <c r="CF894" s="166"/>
      <c r="CO894" s="16"/>
    </row>
    <row r="895" spans="1:93" x14ac:dyDescent="0.3">
      <c r="A895" s="11">
        <v>915</v>
      </c>
      <c r="B895" s="3" t="s">
        <v>2</v>
      </c>
      <c r="C895" s="37">
        <v>91505</v>
      </c>
      <c r="D895" s="37">
        <v>51771</v>
      </c>
      <c r="F895" s="3" t="s">
        <v>2</v>
      </c>
      <c r="G895" s="3" t="s">
        <v>467</v>
      </c>
      <c r="H895" s="26">
        <v>6000</v>
      </c>
      <c r="I895" s="244"/>
      <c r="J895" s="16">
        <f t="shared" si="465"/>
        <v>6000</v>
      </c>
      <c r="K895" s="122">
        <f t="shared" si="466"/>
        <v>0</v>
      </c>
      <c r="M895" s="117">
        <v>6000</v>
      </c>
      <c r="N895" s="117">
        <v>6000</v>
      </c>
      <c r="P895" s="259"/>
      <c r="R895" s="26">
        <v>6000</v>
      </c>
      <c r="S895" s="26">
        <v>0</v>
      </c>
      <c r="U895" s="26">
        <v>6000</v>
      </c>
      <c r="V895" s="244"/>
      <c r="W895" s="16">
        <f t="shared" si="467"/>
        <v>6000</v>
      </c>
      <c r="X895" s="122">
        <f t="shared" si="468"/>
        <v>0</v>
      </c>
      <c r="Z895" s="117">
        <v>6000</v>
      </c>
      <c r="AA895" s="117">
        <v>6000</v>
      </c>
      <c r="AC895" s="259"/>
      <c r="AE895" s="26">
        <v>6000</v>
      </c>
      <c r="AF895" s="200">
        <v>0</v>
      </c>
      <c r="AH895" s="26">
        <v>6000</v>
      </c>
      <c r="AI895" s="244">
        <v>-5000</v>
      </c>
      <c r="AJ895" s="16">
        <f t="shared" si="469"/>
        <v>1000</v>
      </c>
      <c r="AK895" s="122">
        <f t="shared" si="470"/>
        <v>-0.83333333333333337</v>
      </c>
      <c r="AM895" s="117">
        <v>2000</v>
      </c>
      <c r="AN895" s="117">
        <v>2000</v>
      </c>
      <c r="AP895" s="259"/>
      <c r="AR895" s="26">
        <v>2000</v>
      </c>
      <c r="AS895" s="26">
        <v>0</v>
      </c>
      <c r="AU895" s="26">
        <f t="shared" si="471"/>
        <v>2000</v>
      </c>
      <c r="AV895" s="244"/>
      <c r="AW895" s="16">
        <f t="shared" si="472"/>
        <v>2000</v>
      </c>
      <c r="AX895" s="122">
        <f t="shared" si="473"/>
        <v>0</v>
      </c>
      <c r="AZ895" s="117">
        <v>2000</v>
      </c>
      <c r="BA895" s="117">
        <v>2000</v>
      </c>
      <c r="BC895" s="259"/>
      <c r="BE895" s="26">
        <v>2000</v>
      </c>
      <c r="BF895" s="26">
        <v>0</v>
      </c>
      <c r="BH895" s="26">
        <v>2000</v>
      </c>
      <c r="BI895" s="244"/>
      <c r="BJ895" s="16">
        <f t="shared" si="474"/>
        <v>2000</v>
      </c>
      <c r="BK895" s="122">
        <f t="shared" si="475"/>
        <v>0</v>
      </c>
      <c r="BM895" s="117">
        <v>2000</v>
      </c>
      <c r="BN895" s="117">
        <v>2000</v>
      </c>
      <c r="BP895" s="259"/>
      <c r="BR895" s="117">
        <v>2000</v>
      </c>
      <c r="BS895" s="26">
        <v>0</v>
      </c>
      <c r="BU895" s="26">
        <v>2000</v>
      </c>
      <c r="BV895" s="244"/>
      <c r="BW895" s="576">
        <f t="shared" si="476"/>
        <v>2000</v>
      </c>
      <c r="BX895" s="577">
        <f t="shared" si="477"/>
        <v>0</v>
      </c>
      <c r="BZ895" s="166">
        <v>0</v>
      </c>
      <c r="CA895" s="862">
        <v>0</v>
      </c>
      <c r="CC895" s="753"/>
      <c r="CE895" s="862">
        <v>0</v>
      </c>
      <c r="CF895" s="166"/>
      <c r="CO895" s="16"/>
    </row>
    <row r="896" spans="1:93" s="19" customFormat="1" x14ac:dyDescent="0.3">
      <c r="A896" s="27"/>
      <c r="B896" s="8"/>
      <c r="C896" s="42"/>
      <c r="D896" s="42"/>
      <c r="E896" s="54"/>
      <c r="F896" s="8"/>
      <c r="G896" s="57" t="s">
        <v>270</v>
      </c>
      <c r="H896" s="28">
        <f>SUM(H890:H895)</f>
        <v>2294114</v>
      </c>
      <c r="I896" s="28">
        <f>SUM(I890:I895)</f>
        <v>94970</v>
      </c>
      <c r="J896" s="28">
        <f>SUM(J890:J895)</f>
        <v>2389084</v>
      </c>
      <c r="K896" s="123">
        <f>IF(H896=0," ",(J896-H896)/H896)</f>
        <v>4.139724529818483E-2</v>
      </c>
      <c r="M896" s="28">
        <f>SUM(M890:M895)</f>
        <v>2389084</v>
      </c>
      <c r="N896" s="28">
        <f>SUM(N890:N895)</f>
        <v>2364084</v>
      </c>
      <c r="P896" s="139">
        <f>SUM(P890:P895)</f>
        <v>0</v>
      </c>
      <c r="R896" s="28">
        <f>SUM(R890:R895)</f>
        <v>2364084</v>
      </c>
      <c r="S896" s="28">
        <f>SUM(S890:S895)</f>
        <v>1990370.04</v>
      </c>
      <c r="U896" s="28">
        <f>SUM(U890:U895)</f>
        <v>2364084</v>
      </c>
      <c r="V896" s="28">
        <f>SUM(V890:V895)</f>
        <v>-60000</v>
      </c>
      <c r="W896" s="28">
        <f>SUM(W890:W895)</f>
        <v>2304084</v>
      </c>
      <c r="X896" s="123">
        <f>IF(U896=0," ",(W896-U896)/U896)</f>
        <v>-2.5379808839279823E-2</v>
      </c>
      <c r="Z896" s="28">
        <f>SUM(Z890:Z895)</f>
        <v>2304084</v>
      </c>
      <c r="AA896" s="28">
        <f>SUM(AA890:AA895)</f>
        <v>2312733</v>
      </c>
      <c r="AC896" s="139"/>
      <c r="AE896" s="28">
        <f>SUM(AE890:AE895)</f>
        <v>2312733</v>
      </c>
      <c r="AF896" s="28">
        <f>SUM(AF890:AF895)</f>
        <v>2116117.0499999998</v>
      </c>
      <c r="AH896" s="28">
        <f>SUM(AH890:AH895)</f>
        <v>2312733</v>
      </c>
      <c r="AI896" s="28">
        <f>SUM(AI890:AI895)</f>
        <v>-8000</v>
      </c>
      <c r="AJ896" s="28">
        <f>SUM(AJ890:AJ895)</f>
        <v>2304733</v>
      </c>
      <c r="AK896" s="123">
        <f>IF(AH896=0," ",(AJ896-AH896)/AH896)</f>
        <v>-3.4591109306608241E-3</v>
      </c>
      <c r="AM896" s="28">
        <f>SUM(AM890:AM895)</f>
        <v>2309587</v>
      </c>
      <c r="AN896" s="28">
        <f>SUM(AN890:AN895)</f>
        <v>2309587</v>
      </c>
      <c r="AP896" s="139"/>
      <c r="AR896" s="28">
        <f>SUM(AR890:AR895)</f>
        <v>2309587</v>
      </c>
      <c r="AS896" s="28">
        <f>SUM(AS890:AS895)</f>
        <v>2179584.35</v>
      </c>
      <c r="AU896" s="28">
        <f>SUM(AU890:AU895)</f>
        <v>2309587</v>
      </c>
      <c r="AV896" s="28">
        <f>SUM(AV890:AV895)</f>
        <v>9400</v>
      </c>
      <c r="AW896" s="28">
        <f>SUM(AW890:AW895)</f>
        <v>2318987</v>
      </c>
      <c r="AX896" s="123">
        <f>IF(AU896=0," ",(AW896-AU896)/AU896)</f>
        <v>4.0699917344529562E-3</v>
      </c>
      <c r="AZ896" s="28">
        <f>SUM(AZ890:AZ895)</f>
        <v>2318987</v>
      </c>
      <c r="BA896" s="28">
        <f>SUM(BA890:BA895)</f>
        <v>2318987</v>
      </c>
      <c r="BC896" s="139"/>
      <c r="BE896" s="28">
        <f>SUM(BE890:BE895)</f>
        <v>2318987</v>
      </c>
      <c r="BF896" s="28">
        <f>SUM(BF890:BF895)</f>
        <v>1963534.84</v>
      </c>
      <c r="BG896" s="9"/>
      <c r="BH896" s="28">
        <f>SUM(BH890:BH895)</f>
        <v>2318987</v>
      </c>
      <c r="BI896" s="28">
        <f>SUM(BI890:BI895)</f>
        <v>164200</v>
      </c>
      <c r="BJ896" s="28">
        <f>SUM(BJ890:BJ895)</f>
        <v>2483187</v>
      </c>
      <c r="BK896" s="123">
        <f>IF(BH896=0," ",(BJ896-BH896)/BH896)</f>
        <v>7.0806778994448871E-2</v>
      </c>
      <c r="BM896" s="28">
        <f>SUM(BM890:BM895)</f>
        <v>2323187</v>
      </c>
      <c r="BN896" s="28">
        <f>SUM(BN890:BN895)</f>
        <v>2273187</v>
      </c>
      <c r="BP896" s="139"/>
      <c r="BR896" s="28">
        <f>SUM(BR890:BR895)</f>
        <v>2273187</v>
      </c>
      <c r="BS896" s="28">
        <f>SUM(BS890:BS895)</f>
        <v>916412.75000000012</v>
      </c>
      <c r="BT896" s="9"/>
      <c r="BU896" s="28">
        <f>SUM(BU890:BU895)</f>
        <v>2273187</v>
      </c>
      <c r="BV896" s="28">
        <f>SUM(BV890:BV895)</f>
        <v>176000</v>
      </c>
      <c r="BW896" s="28">
        <f>SUM(BW890:BW895)</f>
        <v>2449187</v>
      </c>
      <c r="BX896" s="579">
        <f>IF(BU896=0," ",(BW896-BU896)/BU896)</f>
        <v>7.7424338604787021E-2</v>
      </c>
      <c r="BY896" s="580"/>
      <c r="BZ896" s="28">
        <f>SUM(BZ890:BZ895)</f>
        <v>2447187</v>
      </c>
      <c r="CA896" s="28">
        <f>SUM(CA890:CA895)</f>
        <v>2351187</v>
      </c>
      <c r="CB896" s="580"/>
      <c r="CC896" s="769"/>
      <c r="CD896" s="580"/>
      <c r="CE896" s="28">
        <f>SUM(CE890:CE895)</f>
        <v>2351187</v>
      </c>
      <c r="CF896" s="28">
        <f>SUM(CF890:CF895)</f>
        <v>0</v>
      </c>
      <c r="CG896" s="9"/>
      <c r="CH896" s="815"/>
      <c r="CI896" s="815"/>
      <c r="CJ896" s="887"/>
      <c r="CO896" s="16"/>
    </row>
    <row r="897" spans="1:93" ht="9.9" customHeight="1" x14ac:dyDescent="0.3">
      <c r="AN897" s="26"/>
      <c r="AR897" s="26"/>
      <c r="AS897" s="26"/>
      <c r="AU897" s="26"/>
      <c r="BA897" s="26"/>
      <c r="BE897" s="26"/>
      <c r="BF897" s="26"/>
      <c r="BH897" s="26"/>
      <c r="BM897" s="26"/>
      <c r="BN897" s="26"/>
      <c r="BR897" s="26"/>
      <c r="BU897" s="26"/>
      <c r="BZ897" s="589"/>
      <c r="CA897" s="589"/>
      <c r="CE897" s="589"/>
      <c r="CF897" s="589"/>
      <c r="CO897" s="16"/>
    </row>
    <row r="898" spans="1:93" s="1" customFormat="1" x14ac:dyDescent="0.3">
      <c r="A898" s="20"/>
      <c r="B898" s="5"/>
      <c r="C898" s="39"/>
      <c r="D898" s="39"/>
      <c r="E898" s="51"/>
      <c r="F898" s="5"/>
      <c r="G898" s="21" t="s">
        <v>271</v>
      </c>
      <c r="H898" s="22">
        <f t="shared" ref="H898:J898" si="478">H896</f>
        <v>2294114</v>
      </c>
      <c r="I898" s="22">
        <f t="shared" si="478"/>
        <v>94970</v>
      </c>
      <c r="J898" s="22">
        <f t="shared" si="478"/>
        <v>2389084</v>
      </c>
      <c r="K898" s="124">
        <f>IF(H898=0," ",(J898-H898)/H898)</f>
        <v>4.139724529818483E-2</v>
      </c>
      <c r="M898" s="22">
        <f>M896</f>
        <v>2389084</v>
      </c>
      <c r="N898" s="22">
        <f>N896</f>
        <v>2364084</v>
      </c>
      <c r="P898" s="136">
        <f>P896</f>
        <v>0</v>
      </c>
      <c r="R898" s="22">
        <f>R896</f>
        <v>2364084</v>
      </c>
      <c r="S898" s="22">
        <f>S896</f>
        <v>1990370.04</v>
      </c>
      <c r="U898" s="22">
        <f>U896</f>
        <v>2364084</v>
      </c>
      <c r="V898" s="22">
        <f>V896</f>
        <v>-60000</v>
      </c>
      <c r="W898" s="22">
        <f>W896</f>
        <v>2304084</v>
      </c>
      <c r="X898" s="124">
        <f>IF(U898=0," ",(W898-U898)/U898)</f>
        <v>-2.5379808839279823E-2</v>
      </c>
      <c r="Z898" s="22">
        <f>Z896</f>
        <v>2304084</v>
      </c>
      <c r="AA898" s="22">
        <f>AA896</f>
        <v>2312733</v>
      </c>
      <c r="AC898" s="136"/>
      <c r="AE898" s="22">
        <f>AE896</f>
        <v>2312733</v>
      </c>
      <c r="AF898" s="199">
        <f>AF896</f>
        <v>2116117.0499999998</v>
      </c>
      <c r="AH898" s="22">
        <v>3453074</v>
      </c>
      <c r="AI898" s="22">
        <f>AI896</f>
        <v>-8000</v>
      </c>
      <c r="AJ898" s="22">
        <f>AJ896</f>
        <v>2304733</v>
      </c>
      <c r="AK898" s="124">
        <f>IF(AH898=0," ",(AJ898-AH898)/AH898)</f>
        <v>-0.33255615141754852</v>
      </c>
      <c r="AM898" s="22">
        <f>AM896</f>
        <v>2309587</v>
      </c>
      <c r="AN898" s="22">
        <f>AN896</f>
        <v>2309587</v>
      </c>
      <c r="AP898" s="136"/>
      <c r="AR898" s="22">
        <f>AR896</f>
        <v>2309587</v>
      </c>
      <c r="AS898" s="22">
        <f>AS896</f>
        <v>2179584.35</v>
      </c>
      <c r="AU898" s="22">
        <f>AU896</f>
        <v>2309587</v>
      </c>
      <c r="AV898" s="22">
        <f>AV896</f>
        <v>9400</v>
      </c>
      <c r="AW898" s="22">
        <f>AW896</f>
        <v>2318987</v>
      </c>
      <c r="AX898" s="124">
        <f>IF(AU898=0," ",(AW898-AU898)/AU898)</f>
        <v>4.0699917344529562E-3</v>
      </c>
      <c r="AZ898" s="22">
        <f>AZ896</f>
        <v>2318987</v>
      </c>
      <c r="BA898" s="22">
        <f>BA896</f>
        <v>2318987</v>
      </c>
      <c r="BC898" s="136"/>
      <c r="BE898" s="22">
        <f>BE896</f>
        <v>2318987</v>
      </c>
      <c r="BF898" s="22">
        <f>BF896</f>
        <v>1963534.84</v>
      </c>
      <c r="BH898" s="22">
        <f>BH896</f>
        <v>2318987</v>
      </c>
      <c r="BI898" s="22">
        <f>BI896</f>
        <v>164200</v>
      </c>
      <c r="BJ898" s="22">
        <f>BJ896</f>
        <v>2483187</v>
      </c>
      <c r="BK898" s="124">
        <f>IF(BH898=0," ",(BJ898-BH898)/BH898)</f>
        <v>7.0806778994448871E-2</v>
      </c>
      <c r="BM898" s="22">
        <f>BM896</f>
        <v>2323187</v>
      </c>
      <c r="BN898" s="22">
        <f>BN896</f>
        <v>2273187</v>
      </c>
      <c r="BP898" s="136"/>
      <c r="BR898" s="22">
        <f>BR896</f>
        <v>2273187</v>
      </c>
      <c r="BS898" s="22">
        <f>BS896</f>
        <v>916412.75000000012</v>
      </c>
      <c r="BU898" s="22">
        <f>BU896</f>
        <v>2273187</v>
      </c>
      <c r="BV898" s="531">
        <f>BV896</f>
        <v>176000</v>
      </c>
      <c r="BW898" s="581">
        <f>BW896</f>
        <v>2449187</v>
      </c>
      <c r="BX898" s="582">
        <f>IF(BU898=0," ",(BW898-BU898)/BU898)</f>
        <v>7.7424338604787021E-2</v>
      </c>
      <c r="BY898" s="573"/>
      <c r="BZ898" s="581">
        <f>BZ896</f>
        <v>2447187</v>
      </c>
      <c r="CA898" s="581">
        <f>CA896</f>
        <v>2351187</v>
      </c>
      <c r="CB898" s="573"/>
      <c r="CC898" s="764"/>
      <c r="CD898" s="573"/>
      <c r="CE898" s="581">
        <f>CE896</f>
        <v>2351187</v>
      </c>
      <c r="CF898" s="581">
        <f>CF896</f>
        <v>0</v>
      </c>
      <c r="CH898" s="812"/>
      <c r="CI898" s="812"/>
      <c r="CJ898" s="887"/>
      <c r="CO898" s="16"/>
    </row>
    <row r="899" spans="1:93" ht="20.100000000000001" customHeight="1" x14ac:dyDescent="0.3">
      <c r="AS899" s="16"/>
      <c r="CO899" s="16"/>
    </row>
    <row r="900" spans="1:93" s="1" customFormat="1" ht="15.6" x14ac:dyDescent="0.3">
      <c r="A900" s="14" t="s">
        <v>273</v>
      </c>
      <c r="B900" s="2"/>
      <c r="C900" s="36"/>
      <c r="D900" s="36"/>
      <c r="E900" s="48"/>
      <c r="F900" s="2"/>
      <c r="G900" s="2"/>
      <c r="H900" s="15"/>
      <c r="I900" s="15"/>
      <c r="J900" s="15"/>
      <c r="K900" s="121"/>
      <c r="M900" s="15"/>
      <c r="N900" s="15"/>
      <c r="P900" s="133"/>
      <c r="R900" s="15"/>
      <c r="S900" s="15"/>
      <c r="U900" s="15"/>
      <c r="V900" s="15"/>
      <c r="W900" s="15"/>
      <c r="X900" s="121"/>
      <c r="Z900" s="15"/>
      <c r="AA900" s="15"/>
      <c r="AC900" s="133"/>
      <c r="AE900" s="15"/>
      <c r="AF900" s="196"/>
      <c r="AH900" s="15"/>
      <c r="AI900" s="15"/>
      <c r="AJ900" s="15"/>
      <c r="AK900" s="121"/>
      <c r="AM900" s="15"/>
      <c r="AN900" s="15"/>
      <c r="AP900" s="133"/>
      <c r="AR900" s="15"/>
      <c r="AS900" s="15"/>
      <c r="AU900" s="15"/>
      <c r="AV900" s="15"/>
      <c r="AW900" s="15"/>
      <c r="AX900" s="121"/>
      <c r="AZ900" s="15"/>
      <c r="BA900" s="15"/>
      <c r="BC900" s="133"/>
      <c r="BE900" s="15"/>
      <c r="BF900" s="15"/>
      <c r="BH900" s="15"/>
      <c r="BI900" s="15"/>
      <c r="BJ900" s="15"/>
      <c r="BK900" s="121"/>
      <c r="BM900" s="15"/>
      <c r="BN900" s="15"/>
      <c r="BP900" s="234"/>
      <c r="BR900" s="15"/>
      <c r="BS900" s="15"/>
      <c r="BU900" s="15"/>
      <c r="BV900" s="529"/>
      <c r="BW900" s="574"/>
      <c r="BX900" s="575"/>
      <c r="BY900" s="573"/>
      <c r="BZ900" s="574"/>
      <c r="CA900" s="574"/>
      <c r="CB900" s="573"/>
      <c r="CC900" s="761"/>
      <c r="CD900" s="573"/>
      <c r="CE900" s="574"/>
      <c r="CF900" s="574"/>
      <c r="CH900" s="812"/>
      <c r="CI900" s="812"/>
      <c r="CJ900" s="887"/>
      <c r="CO900" s="16"/>
    </row>
    <row r="901" spans="1:93" x14ac:dyDescent="0.3">
      <c r="A901" s="11">
        <v>916</v>
      </c>
      <c r="B901" s="3" t="s">
        <v>2</v>
      </c>
      <c r="C901" s="37">
        <v>91605</v>
      </c>
      <c r="D901" s="37">
        <v>51720</v>
      </c>
      <c r="F901" s="3" t="s">
        <v>2</v>
      </c>
      <c r="G901" s="3" t="s">
        <v>458</v>
      </c>
      <c r="H901" s="26">
        <v>64923</v>
      </c>
      <c r="I901" s="244">
        <v>6492</v>
      </c>
      <c r="J901" s="16">
        <f t="shared" ref="J901:J904" si="479">H901+I901</f>
        <v>71415</v>
      </c>
      <c r="K901" s="122">
        <f t="shared" ref="K901:K905" si="480">IF(H901=0," ",(J901-H901)/H901)</f>
        <v>9.9995379141444476E-2</v>
      </c>
      <c r="M901" s="117">
        <v>68169</v>
      </c>
      <c r="N901" s="117">
        <v>68169</v>
      </c>
      <c r="P901" s="259" t="s">
        <v>626</v>
      </c>
      <c r="R901" s="26">
        <v>68169</v>
      </c>
      <c r="S901" s="26">
        <v>68211</v>
      </c>
      <c r="U901" s="26">
        <v>68169</v>
      </c>
      <c r="V901" s="244"/>
      <c r="W901" s="16">
        <f t="shared" ref="W901:W904" si="481">U901+V901</f>
        <v>68169</v>
      </c>
      <c r="X901" s="122">
        <f t="shared" ref="X901:X905" si="482">IF(U901=0," ",(W901-U901)/U901)</f>
        <v>0</v>
      </c>
      <c r="Z901" s="117">
        <v>68169</v>
      </c>
      <c r="AA901" s="117">
        <f>68169+13634</f>
        <v>81803</v>
      </c>
      <c r="AC901" s="259" t="s">
        <v>748</v>
      </c>
      <c r="AE901" s="26">
        <f>68169+13634</f>
        <v>81803</v>
      </c>
      <c r="AF901" s="200">
        <v>82468</v>
      </c>
      <c r="AH901" s="26">
        <v>81803</v>
      </c>
      <c r="AI901" s="244"/>
      <c r="AJ901" s="16">
        <f t="shared" ref="AJ901:AJ904" si="483">AH901+AI901</f>
        <v>81803</v>
      </c>
      <c r="AK901" s="122">
        <f t="shared" ref="AK901:AK904" si="484">IF(AH901=0," ",(AJ901-AH901)/AH901)</f>
        <v>0</v>
      </c>
      <c r="AM901" s="117">
        <f>81803+5727</f>
        <v>87530</v>
      </c>
      <c r="AN901" s="117">
        <f>81803+5727</f>
        <v>87530</v>
      </c>
      <c r="AO901" s="178"/>
      <c r="AP901" s="266" t="s">
        <v>827</v>
      </c>
      <c r="AR901" s="26">
        <f>81803+5727</f>
        <v>87530</v>
      </c>
      <c r="AS901" s="26">
        <v>77101.710000000006</v>
      </c>
      <c r="AU901" s="26">
        <f>AR901</f>
        <v>87530</v>
      </c>
      <c r="AV901" s="244">
        <v>3470</v>
      </c>
      <c r="AW901" s="16">
        <f t="shared" ref="AW901:AW904" si="485">AU901+AV901</f>
        <v>91000</v>
      </c>
      <c r="AX901" s="122">
        <f t="shared" ref="AX901:AX904" si="486">IF(AU901=0," ",(AW901-AU901)/AU901)</f>
        <v>3.9643550782588827E-2</v>
      </c>
      <c r="AZ901" s="117">
        <v>91000</v>
      </c>
      <c r="BA901" s="117">
        <v>91000</v>
      </c>
      <c r="BB901" s="178"/>
      <c r="BC901" s="319" t="s">
        <v>1083</v>
      </c>
      <c r="BE901" s="26">
        <v>91000</v>
      </c>
      <c r="BF901" s="26">
        <v>79649.13</v>
      </c>
      <c r="BH901" s="26">
        <v>91000</v>
      </c>
      <c r="BI901" s="244">
        <v>0</v>
      </c>
      <c r="BJ901" s="16">
        <f t="shared" ref="BJ901:BJ904" si="487">BH901+BI901</f>
        <v>91000</v>
      </c>
      <c r="BK901" s="122">
        <f t="shared" ref="BK901:BK904" si="488">IF(BH901=0," ",(BJ901-BH901)/BH901)</f>
        <v>0</v>
      </c>
      <c r="BM901" s="117">
        <v>91000</v>
      </c>
      <c r="BN901" s="117">
        <v>91000</v>
      </c>
      <c r="BO901" s="178"/>
      <c r="BP901" s="259"/>
      <c r="BR901" s="117">
        <v>91000</v>
      </c>
      <c r="BS901" s="26">
        <v>74697.95</v>
      </c>
      <c r="BU901" s="26">
        <v>91000</v>
      </c>
      <c r="BV901" s="244">
        <v>4000</v>
      </c>
      <c r="BW901" s="576">
        <f t="shared" ref="BW901:BW904" si="489">BU901+BV901</f>
        <v>95000</v>
      </c>
      <c r="BX901" s="577">
        <f t="shared" ref="BX901:BX904" si="490">IF(BU901=0," ",(BW901-BU901)/BU901)</f>
        <v>4.3956043956043959E-2</v>
      </c>
      <c r="BZ901" s="166">
        <v>95000</v>
      </c>
      <c r="CA901" s="166">
        <v>95000</v>
      </c>
      <c r="CC901" s="755" t="s">
        <v>1475</v>
      </c>
      <c r="CE901" s="166">
        <v>95000</v>
      </c>
      <c r="CF901" s="166"/>
      <c r="CO901" s="16"/>
    </row>
    <row r="902" spans="1:93" x14ac:dyDescent="0.3">
      <c r="A902" s="11">
        <v>916</v>
      </c>
      <c r="B902" s="3" t="s">
        <v>2</v>
      </c>
      <c r="C902" s="37">
        <v>91605</v>
      </c>
      <c r="D902" s="37">
        <v>57400</v>
      </c>
      <c r="F902" s="3" t="s">
        <v>2</v>
      </c>
      <c r="G902" s="3" t="s">
        <v>459</v>
      </c>
      <c r="H902" s="26">
        <v>196113</v>
      </c>
      <c r="I902" s="244">
        <v>19611</v>
      </c>
      <c r="J902" s="16">
        <f t="shared" si="479"/>
        <v>215724</v>
      </c>
      <c r="K902" s="122">
        <f t="shared" si="480"/>
        <v>9.9998470269691456E-2</v>
      </c>
      <c r="M902" s="117">
        <v>205920</v>
      </c>
      <c r="N902" s="117">
        <v>205920</v>
      </c>
      <c r="P902" s="259" t="s">
        <v>626</v>
      </c>
      <c r="R902" s="26">
        <v>205920</v>
      </c>
      <c r="S902" s="26">
        <v>164980</v>
      </c>
      <c r="U902" s="26">
        <v>205920</v>
      </c>
      <c r="V902" s="244"/>
      <c r="W902" s="16">
        <f t="shared" si="481"/>
        <v>205920</v>
      </c>
      <c r="X902" s="122">
        <f t="shared" si="482"/>
        <v>0</v>
      </c>
      <c r="Z902" s="117">
        <v>205920</v>
      </c>
      <c r="AA902" s="117">
        <f>205920+20592</f>
        <v>226512</v>
      </c>
      <c r="AC902" s="259" t="s">
        <v>749</v>
      </c>
      <c r="AE902" s="26">
        <f>205920+20592</f>
        <v>226512</v>
      </c>
      <c r="AF902" s="200">
        <v>146488.92000000001</v>
      </c>
      <c r="AH902" s="26">
        <v>226512</v>
      </c>
      <c r="AI902" s="244"/>
      <c r="AJ902" s="16">
        <f t="shared" si="483"/>
        <v>226512</v>
      </c>
      <c r="AK902" s="122">
        <f t="shared" si="484"/>
        <v>0</v>
      </c>
      <c r="AM902" s="117">
        <f>226512+65000</f>
        <v>291512</v>
      </c>
      <c r="AN902" s="117">
        <f>226512+65000</f>
        <v>291512</v>
      </c>
      <c r="AO902" s="178"/>
      <c r="AP902" s="266" t="s">
        <v>828</v>
      </c>
      <c r="AR902" s="26">
        <f>226512+65000</f>
        <v>291512</v>
      </c>
      <c r="AS902" s="26">
        <v>156660.07999999999</v>
      </c>
      <c r="AU902" s="26">
        <f>AR902</f>
        <v>291512</v>
      </c>
      <c r="AV902" s="244"/>
      <c r="AW902" s="16">
        <f t="shared" si="485"/>
        <v>291512</v>
      </c>
      <c r="AX902" s="122">
        <f t="shared" si="486"/>
        <v>0</v>
      </c>
      <c r="AZ902" s="117">
        <v>291512</v>
      </c>
      <c r="BA902" s="117">
        <v>291512</v>
      </c>
      <c r="BB902" s="178"/>
      <c r="BC902" s="319"/>
      <c r="BE902" s="26">
        <v>291512</v>
      </c>
      <c r="BF902" s="26">
        <v>160704.17000000001</v>
      </c>
      <c r="BH902" s="26">
        <v>291512</v>
      </c>
      <c r="BI902" s="244">
        <v>0</v>
      </c>
      <c r="BJ902" s="16">
        <f t="shared" si="487"/>
        <v>291512</v>
      </c>
      <c r="BK902" s="122">
        <f t="shared" si="488"/>
        <v>0</v>
      </c>
      <c r="BM902" s="117">
        <v>291512</v>
      </c>
      <c r="BN902" s="117">
        <v>291512</v>
      </c>
      <c r="BO902" s="178"/>
      <c r="BP902" s="259"/>
      <c r="BR902" s="117">
        <v>291512</v>
      </c>
      <c r="BS902" s="26">
        <v>175516.05</v>
      </c>
      <c r="BU902" s="26">
        <v>291512</v>
      </c>
      <c r="BV902" s="244">
        <v>-76512</v>
      </c>
      <c r="BW902" s="576">
        <f t="shared" si="489"/>
        <v>215000</v>
      </c>
      <c r="BX902" s="577">
        <f t="shared" si="490"/>
        <v>-0.26246603913389499</v>
      </c>
      <c r="BZ902" s="166">
        <v>215000</v>
      </c>
      <c r="CA902" s="166">
        <v>215000</v>
      </c>
      <c r="CC902" s="755" t="s">
        <v>1475</v>
      </c>
      <c r="CE902" s="166">
        <v>215000</v>
      </c>
      <c r="CF902" s="166"/>
      <c r="CO902" s="16"/>
    </row>
    <row r="903" spans="1:93" x14ac:dyDescent="0.3">
      <c r="A903" s="11">
        <v>916</v>
      </c>
      <c r="B903" s="3" t="s">
        <v>2</v>
      </c>
      <c r="C903" s="37">
        <v>91605</v>
      </c>
      <c r="D903" s="37">
        <v>57430</v>
      </c>
      <c r="F903" s="3" t="s">
        <v>2</v>
      </c>
      <c r="G903" s="3" t="s">
        <v>460</v>
      </c>
      <c r="H903" s="26">
        <v>136979</v>
      </c>
      <c r="I903" s="244">
        <v>13697</v>
      </c>
      <c r="J903" s="16">
        <f t="shared" si="479"/>
        <v>150676</v>
      </c>
      <c r="K903" s="122">
        <f t="shared" si="480"/>
        <v>9.9993429649800333E-2</v>
      </c>
      <c r="M903" s="117">
        <v>146373</v>
      </c>
      <c r="N903" s="117">
        <v>146373</v>
      </c>
      <c r="P903" s="259" t="s">
        <v>628</v>
      </c>
      <c r="R903" s="26">
        <v>146373</v>
      </c>
      <c r="S903" s="26">
        <v>78387</v>
      </c>
      <c r="U903" s="26">
        <v>146373</v>
      </c>
      <c r="V903" s="244"/>
      <c r="W903" s="16">
        <f t="shared" si="481"/>
        <v>146373</v>
      </c>
      <c r="X903" s="122">
        <f t="shared" si="482"/>
        <v>0</v>
      </c>
      <c r="Z903" s="117">
        <v>146373</v>
      </c>
      <c r="AA903" s="117">
        <v>146373</v>
      </c>
      <c r="AC903" s="259"/>
      <c r="AE903" s="26">
        <v>146373</v>
      </c>
      <c r="AF903" s="200">
        <v>80968.5</v>
      </c>
      <c r="AH903" s="26">
        <v>146373</v>
      </c>
      <c r="AI903" s="244">
        <v>-65386</v>
      </c>
      <c r="AJ903" s="16">
        <f t="shared" si="483"/>
        <v>80987</v>
      </c>
      <c r="AK903" s="122">
        <f t="shared" si="484"/>
        <v>-0.44670806774473432</v>
      </c>
      <c r="AM903" s="117">
        <v>80987</v>
      </c>
      <c r="AN903" s="117">
        <v>80987</v>
      </c>
      <c r="AP903" s="259"/>
      <c r="AR903" s="26">
        <v>80987</v>
      </c>
      <c r="AS903" s="26">
        <v>76428</v>
      </c>
      <c r="AU903" s="26">
        <f>AR903</f>
        <v>80987</v>
      </c>
      <c r="AV903" s="244"/>
      <c r="AW903" s="16">
        <f t="shared" si="485"/>
        <v>80987</v>
      </c>
      <c r="AX903" s="122">
        <f t="shared" si="486"/>
        <v>0</v>
      </c>
      <c r="AZ903" s="117">
        <v>80987</v>
      </c>
      <c r="BA903" s="117">
        <v>80987</v>
      </c>
      <c r="BC903" s="319"/>
      <c r="BE903" s="26">
        <v>80987</v>
      </c>
      <c r="BF903" s="26">
        <v>79542</v>
      </c>
      <c r="BH903" s="26">
        <v>80987</v>
      </c>
      <c r="BI903" s="244">
        <v>8113</v>
      </c>
      <c r="BJ903" s="16">
        <f t="shared" si="487"/>
        <v>89100</v>
      </c>
      <c r="BK903" s="122">
        <f t="shared" si="488"/>
        <v>0.10017657154852014</v>
      </c>
      <c r="BM903" s="117">
        <v>89100</v>
      </c>
      <c r="BN903" s="117">
        <v>89100</v>
      </c>
      <c r="BP903" s="319"/>
      <c r="BR903" s="117">
        <v>89100</v>
      </c>
      <c r="BS903" s="26">
        <v>90802</v>
      </c>
      <c r="BU903" s="26">
        <v>89100</v>
      </c>
      <c r="BV903" s="244">
        <v>10900</v>
      </c>
      <c r="BW903" s="576">
        <f t="shared" si="489"/>
        <v>100000</v>
      </c>
      <c r="BX903" s="577">
        <f t="shared" si="490"/>
        <v>0.122334455667789</v>
      </c>
      <c r="BZ903" s="166">
        <v>100000</v>
      </c>
      <c r="CA903" s="166">
        <v>100000</v>
      </c>
      <c r="CC903" s="755" t="s">
        <v>1475</v>
      </c>
      <c r="CE903" s="166">
        <v>100000</v>
      </c>
      <c r="CF903" s="166"/>
      <c r="CO903" s="16"/>
    </row>
    <row r="904" spans="1:93" x14ac:dyDescent="0.3">
      <c r="A904" s="11">
        <v>916</v>
      </c>
      <c r="B904" s="3" t="s">
        <v>2</v>
      </c>
      <c r="C904" s="37">
        <v>91605</v>
      </c>
      <c r="D904" s="37">
        <v>57440</v>
      </c>
      <c r="F904" s="3" t="s">
        <v>2</v>
      </c>
      <c r="G904" s="3" t="s">
        <v>461</v>
      </c>
      <c r="H904" s="26">
        <v>1650</v>
      </c>
      <c r="I904" s="244">
        <v>165</v>
      </c>
      <c r="J904" s="16">
        <f t="shared" si="479"/>
        <v>1815</v>
      </c>
      <c r="K904" s="122">
        <f t="shared" si="480"/>
        <v>0.1</v>
      </c>
      <c r="M904" s="117">
        <v>1815</v>
      </c>
      <c r="N904" s="117">
        <v>1815</v>
      </c>
      <c r="P904" s="259"/>
      <c r="R904" s="26">
        <v>1815</v>
      </c>
      <c r="S904" s="26">
        <v>1093</v>
      </c>
      <c r="U904" s="26">
        <v>1815</v>
      </c>
      <c r="V904" s="244"/>
      <c r="W904" s="16">
        <f t="shared" si="481"/>
        <v>1815</v>
      </c>
      <c r="X904" s="122">
        <f t="shared" si="482"/>
        <v>0</v>
      </c>
      <c r="Z904" s="117">
        <v>1815</v>
      </c>
      <c r="AA904" s="117">
        <v>1815</v>
      </c>
      <c r="AC904" s="259"/>
      <c r="AE904" s="26">
        <v>1815</v>
      </c>
      <c r="AF904" s="200">
        <v>1844</v>
      </c>
      <c r="AH904" s="26">
        <v>1815</v>
      </c>
      <c r="AI904" s="244"/>
      <c r="AJ904" s="16">
        <f t="shared" si="483"/>
        <v>1815</v>
      </c>
      <c r="AK904" s="122">
        <f t="shared" si="484"/>
        <v>0</v>
      </c>
      <c r="AM904" s="117">
        <v>1815</v>
      </c>
      <c r="AN904" s="117">
        <v>1815</v>
      </c>
      <c r="AP904" s="259"/>
      <c r="AR904" s="26">
        <v>1815</v>
      </c>
      <c r="AS904" s="26">
        <v>2416</v>
      </c>
      <c r="AU904" s="26">
        <f>AR904</f>
        <v>1815</v>
      </c>
      <c r="AV904" s="244">
        <v>185</v>
      </c>
      <c r="AW904" s="16">
        <f t="shared" si="485"/>
        <v>2000</v>
      </c>
      <c r="AX904" s="122">
        <f t="shared" si="486"/>
        <v>0.10192837465564739</v>
      </c>
      <c r="AZ904" s="117">
        <v>2000</v>
      </c>
      <c r="BA904" s="117">
        <v>2000</v>
      </c>
      <c r="BC904" s="319" t="s">
        <v>1082</v>
      </c>
      <c r="BE904" s="26">
        <v>2000</v>
      </c>
      <c r="BF904" s="26">
        <v>1443</v>
      </c>
      <c r="BH904" s="26">
        <v>2000</v>
      </c>
      <c r="BI904" s="244"/>
      <c r="BJ904" s="16">
        <f t="shared" si="487"/>
        <v>2000</v>
      </c>
      <c r="BK904" s="122">
        <f t="shared" si="488"/>
        <v>0</v>
      </c>
      <c r="BM904" s="117">
        <v>2000</v>
      </c>
      <c r="BN904" s="117">
        <v>2000</v>
      </c>
      <c r="BP904" s="259"/>
      <c r="BR904" s="117">
        <v>2000</v>
      </c>
      <c r="BS904" s="26">
        <v>1443</v>
      </c>
      <c r="BU904" s="26">
        <v>2000</v>
      </c>
      <c r="BV904" s="244">
        <v>500</v>
      </c>
      <c r="BW904" s="576">
        <f t="shared" si="489"/>
        <v>2500</v>
      </c>
      <c r="BX904" s="577">
        <f t="shared" si="490"/>
        <v>0.25</v>
      </c>
      <c r="BZ904" s="166">
        <v>2500</v>
      </c>
      <c r="CA904" s="166">
        <v>2500</v>
      </c>
      <c r="CC904" s="755" t="s">
        <v>1475</v>
      </c>
      <c r="CE904" s="166">
        <v>2500</v>
      </c>
      <c r="CF904" s="166"/>
      <c r="CO904" s="16"/>
    </row>
    <row r="905" spans="1:93" s="19" customFormat="1" x14ac:dyDescent="0.3">
      <c r="A905" s="27"/>
      <c r="B905" s="8"/>
      <c r="C905" s="42"/>
      <c r="D905" s="42"/>
      <c r="E905" s="54"/>
      <c r="F905" s="8"/>
      <c r="G905" s="57" t="s">
        <v>275</v>
      </c>
      <c r="H905" s="28">
        <f>SUM(H901:H904)</f>
        <v>399665</v>
      </c>
      <c r="I905" s="28">
        <f>SUM(I901:I904)</f>
        <v>39965</v>
      </c>
      <c r="J905" s="28">
        <f>SUM(J901:J904)</f>
        <v>439630</v>
      </c>
      <c r="K905" s="123">
        <f t="shared" si="480"/>
        <v>9.9996246856742521E-2</v>
      </c>
      <c r="M905" s="28">
        <f>SUM(M901:M904)</f>
        <v>422277</v>
      </c>
      <c r="N905" s="28">
        <f>SUM(N901:N904)</f>
        <v>422277</v>
      </c>
      <c r="P905" s="139">
        <f>SUM(P901:P904)</f>
        <v>0</v>
      </c>
      <c r="R905" s="28">
        <f>SUM(R901:R904)</f>
        <v>422277</v>
      </c>
      <c r="S905" s="28">
        <f>SUM(S901:S904)</f>
        <v>312671</v>
      </c>
      <c r="U905" s="28">
        <f>SUM(U901:U904)</f>
        <v>422277</v>
      </c>
      <c r="V905" s="28">
        <f>SUM(V901:V904)</f>
        <v>0</v>
      </c>
      <c r="W905" s="28">
        <f>SUM(W901:W904)</f>
        <v>422277</v>
      </c>
      <c r="X905" s="123">
        <f t="shared" si="482"/>
        <v>0</v>
      </c>
      <c r="Z905" s="28">
        <f>SUM(Z901:Z904)</f>
        <v>422277</v>
      </c>
      <c r="AA905" s="28">
        <f>SUM(AA901:AA904)</f>
        <v>456503</v>
      </c>
      <c r="AC905" s="139"/>
      <c r="AE905" s="28">
        <f>SUM(AE901:AE904)</f>
        <v>456503</v>
      </c>
      <c r="AF905" s="201">
        <f>SUM(AF901:AF904)</f>
        <v>311769.42000000004</v>
      </c>
      <c r="AH905" s="28">
        <v>456503</v>
      </c>
      <c r="AI905" s="28">
        <f>SUM(AI901:AI904)</f>
        <v>-65386</v>
      </c>
      <c r="AJ905" s="28">
        <f>SUM(AJ901:AJ904)</f>
        <v>391117</v>
      </c>
      <c r="AK905" s="123">
        <f>IF(AH905=0," ",(AJ905-AH905)/AH905)</f>
        <v>-0.1432323555376416</v>
      </c>
      <c r="AM905" s="28">
        <f>SUM(AM901:AM904)</f>
        <v>461844</v>
      </c>
      <c r="AN905" s="28">
        <f>SUM(AN901:AN904)</f>
        <v>461844</v>
      </c>
      <c r="AP905" s="139"/>
      <c r="AR905" s="28">
        <f>SUM(AR901:AR904)</f>
        <v>461844</v>
      </c>
      <c r="AS905" s="28">
        <f>SUM(AS901:AS904)</f>
        <v>312605.78999999998</v>
      </c>
      <c r="AU905" s="28">
        <f>SUM(AU901:AU904)</f>
        <v>461844</v>
      </c>
      <c r="AV905" s="28">
        <f>SUM(AV901:AV904)</f>
        <v>3655</v>
      </c>
      <c r="AW905" s="28">
        <f>SUM(AW901:AW904)</f>
        <v>465499</v>
      </c>
      <c r="AX905" s="123">
        <f>IF(AU905=0," ",(AW905-AU905)/AU905)</f>
        <v>7.9139276465646415E-3</v>
      </c>
      <c r="AZ905" s="28">
        <f>SUM(AZ901:AZ904)</f>
        <v>465499</v>
      </c>
      <c r="BA905" s="28">
        <f>SUM(BA901:BA904)</f>
        <v>465499</v>
      </c>
      <c r="BC905" s="139"/>
      <c r="BE905" s="28">
        <f>SUM(BE901:BE904)</f>
        <v>465499</v>
      </c>
      <c r="BF905" s="28">
        <f>SUM(BF901:BF904)</f>
        <v>321338.30000000005</v>
      </c>
      <c r="BG905" s="9"/>
      <c r="BH905" s="28">
        <f>SUM(BH901:BH904)</f>
        <v>465499</v>
      </c>
      <c r="BI905" s="28">
        <f>SUM(BI901:BI904)</f>
        <v>8113</v>
      </c>
      <c r="BJ905" s="28">
        <f>SUM(BJ901:BJ904)</f>
        <v>473612</v>
      </c>
      <c r="BK905" s="123">
        <f>IF(BH905=0," ",(BJ905-BH905)/BH905)</f>
        <v>1.7428608869191984E-2</v>
      </c>
      <c r="BM905" s="28">
        <f>SUM(BM901:BM904)</f>
        <v>473612</v>
      </c>
      <c r="BN905" s="28">
        <f>SUM(BN901:BN904)</f>
        <v>473612</v>
      </c>
      <c r="BP905" s="139"/>
      <c r="BR905" s="28">
        <f>SUM(BR901:BR904)</f>
        <v>473612</v>
      </c>
      <c r="BS905" s="28">
        <f>SUM(BS901:BS904)</f>
        <v>342459</v>
      </c>
      <c r="BT905" s="9"/>
      <c r="BU905" s="28">
        <f>SUM(BU901:BU904)</f>
        <v>473612</v>
      </c>
      <c r="BV905" s="532">
        <f>SUM(BV901:BV904)</f>
        <v>-61112</v>
      </c>
      <c r="BW905" s="591">
        <f>SUM(BW901:BW904)</f>
        <v>412500</v>
      </c>
      <c r="BX905" s="579">
        <f>IF(BU905=0," ",(BW905-BU905)/BU905)</f>
        <v>-0.12903389272231278</v>
      </c>
      <c r="BY905" s="580"/>
      <c r="BZ905" s="591">
        <f>SUM(BZ901:BZ904)</f>
        <v>412500</v>
      </c>
      <c r="CA905" s="591">
        <f>SUM(CA901:CA904)</f>
        <v>412500</v>
      </c>
      <c r="CB905" s="580"/>
      <c r="CC905" s="769"/>
      <c r="CD905" s="580"/>
      <c r="CE905" s="591">
        <f>SUM(CE901:CE904)</f>
        <v>412500</v>
      </c>
      <c r="CF905" s="591">
        <f>SUM(CF901:CF904)</f>
        <v>0</v>
      </c>
      <c r="CG905" s="9"/>
      <c r="CH905" s="815"/>
      <c r="CI905" s="815"/>
      <c r="CJ905" s="887"/>
      <c r="CO905" s="16"/>
    </row>
    <row r="906" spans="1:93" ht="9.9" customHeight="1" x14ac:dyDescent="0.3">
      <c r="AS906" s="16"/>
      <c r="CO906" s="16"/>
    </row>
    <row r="907" spans="1:93" s="1" customFormat="1" x14ac:dyDescent="0.3">
      <c r="A907" s="20"/>
      <c r="B907" s="5"/>
      <c r="C907" s="39"/>
      <c r="D907" s="39"/>
      <c r="E907" s="51"/>
      <c r="F907" s="5"/>
      <c r="G907" s="21" t="s">
        <v>274</v>
      </c>
      <c r="H907" s="22">
        <f t="shared" ref="H907" si="491">H905</f>
        <v>399665</v>
      </c>
      <c r="I907" s="22">
        <f>I905</f>
        <v>39965</v>
      </c>
      <c r="J907" s="22">
        <f>J905</f>
        <v>439630</v>
      </c>
      <c r="K907" s="124">
        <f>IF(H907=0," ",(J907-H907)/H907)</f>
        <v>9.9996246856742521E-2</v>
      </c>
      <c r="M907" s="22">
        <f>M905</f>
        <v>422277</v>
      </c>
      <c r="N907" s="22">
        <f>N905</f>
        <v>422277</v>
      </c>
      <c r="P907" s="136">
        <f>P905</f>
        <v>0</v>
      </c>
      <c r="R907" s="22">
        <f>R905</f>
        <v>422277</v>
      </c>
      <c r="S907" s="22">
        <f>S905</f>
        <v>312671</v>
      </c>
      <c r="U907" s="22">
        <f>U905</f>
        <v>422277</v>
      </c>
      <c r="V907" s="22">
        <f>V905</f>
        <v>0</v>
      </c>
      <c r="W907" s="22">
        <f>W905</f>
        <v>422277</v>
      </c>
      <c r="X907" s="124">
        <f>IF(U907=0," ",(W907-U907)/U907)</f>
        <v>0</v>
      </c>
      <c r="Z907" s="22">
        <f>Z905</f>
        <v>422277</v>
      </c>
      <c r="AA907" s="22">
        <f>AA905</f>
        <v>456503</v>
      </c>
      <c r="AC907" s="136"/>
      <c r="AE907" s="22">
        <f>AE905</f>
        <v>456503</v>
      </c>
      <c r="AF907" s="199">
        <f>AF905</f>
        <v>311769.42000000004</v>
      </c>
      <c r="AH907" s="22">
        <v>456503</v>
      </c>
      <c r="AI907" s="22">
        <f>AI905</f>
        <v>-65386</v>
      </c>
      <c r="AJ907" s="22">
        <f>AJ905</f>
        <v>391117</v>
      </c>
      <c r="AK907" s="124">
        <f>IF(AH907=0," ",(AJ907-AH907)/AH907)</f>
        <v>-0.1432323555376416</v>
      </c>
      <c r="AM907" s="22">
        <f>AM905</f>
        <v>461844</v>
      </c>
      <c r="AN907" s="22">
        <f>AN905</f>
        <v>461844</v>
      </c>
      <c r="AP907" s="136"/>
      <c r="AR907" s="22">
        <f>AR905</f>
        <v>461844</v>
      </c>
      <c r="AS907" s="22">
        <f>AS905</f>
        <v>312605.78999999998</v>
      </c>
      <c r="AU907" s="22">
        <f>AU905</f>
        <v>461844</v>
      </c>
      <c r="AV907" s="22">
        <f>AV905</f>
        <v>3655</v>
      </c>
      <c r="AW907" s="22">
        <f>AW905</f>
        <v>465499</v>
      </c>
      <c r="AX907" s="124">
        <f>IF(AU907=0," ",(AW907-AU907)/AU907)</f>
        <v>7.9139276465646415E-3</v>
      </c>
      <c r="AZ907" s="22">
        <f>AZ905</f>
        <v>465499</v>
      </c>
      <c r="BA907" s="22">
        <f>BA905</f>
        <v>465499</v>
      </c>
      <c r="BC907" s="136"/>
      <c r="BE907" s="22">
        <f>BE905</f>
        <v>465499</v>
      </c>
      <c r="BF907" s="22">
        <f>BF905</f>
        <v>321338.30000000005</v>
      </c>
      <c r="BH907" s="22">
        <f>BH905</f>
        <v>465499</v>
      </c>
      <c r="BI907" s="22">
        <f>BI905</f>
        <v>8113</v>
      </c>
      <c r="BJ907" s="22">
        <f>BJ905</f>
        <v>473612</v>
      </c>
      <c r="BK907" s="124">
        <f>IF(BH907=0," ",(BJ907-BH907)/BH907)</f>
        <v>1.7428608869191984E-2</v>
      </c>
      <c r="BM907" s="22">
        <f>BM905</f>
        <v>473612</v>
      </c>
      <c r="BN907" s="22">
        <f>BN905</f>
        <v>473612</v>
      </c>
      <c r="BP907" s="136"/>
      <c r="BR907" s="22">
        <f>BR905</f>
        <v>473612</v>
      </c>
      <c r="BS907" s="22">
        <f>BS905</f>
        <v>342459</v>
      </c>
      <c r="BU907" s="22">
        <f>BU905</f>
        <v>473612</v>
      </c>
      <c r="BV907" s="531">
        <f>BV905</f>
        <v>-61112</v>
      </c>
      <c r="BW907" s="581">
        <f>BW905</f>
        <v>412500</v>
      </c>
      <c r="BX907" s="582">
        <f>IF(BU907=0," ",(BW907-BU907)/BU907)</f>
        <v>-0.12903389272231278</v>
      </c>
      <c r="BY907" s="573"/>
      <c r="BZ907" s="581">
        <f>BZ905</f>
        <v>412500</v>
      </c>
      <c r="CA907" s="581">
        <f>CA905</f>
        <v>412500</v>
      </c>
      <c r="CB907" s="573"/>
      <c r="CC907" s="764"/>
      <c r="CD907" s="573"/>
      <c r="CE907" s="581">
        <f>CE905</f>
        <v>412500</v>
      </c>
      <c r="CF907" s="581">
        <f>CF905</f>
        <v>0</v>
      </c>
      <c r="CH907" s="812"/>
      <c r="CI907" s="812"/>
      <c r="CJ907" s="887"/>
      <c r="CO907" s="16"/>
    </row>
    <row r="908" spans="1:93" ht="20.100000000000001" customHeight="1" x14ac:dyDescent="0.3">
      <c r="AS908" s="16"/>
      <c r="CO908" s="16"/>
    </row>
    <row r="909" spans="1:93" s="1" customFormat="1" ht="15.6" x14ac:dyDescent="0.3">
      <c r="A909" s="14" t="s">
        <v>276</v>
      </c>
      <c r="B909" s="2"/>
      <c r="C909" s="36"/>
      <c r="D909" s="36"/>
      <c r="E909" s="48"/>
      <c r="F909" s="2"/>
      <c r="G909" s="2"/>
      <c r="H909" s="15"/>
      <c r="I909" s="15"/>
      <c r="J909" s="15"/>
      <c r="K909" s="121"/>
      <c r="M909" s="15"/>
      <c r="N909" s="15"/>
      <c r="P909" s="133"/>
      <c r="R909" s="15"/>
      <c r="S909" s="15"/>
      <c r="U909" s="15"/>
      <c r="V909" s="15"/>
      <c r="W909" s="15"/>
      <c r="X909" s="121"/>
      <c r="Z909" s="15"/>
      <c r="AA909" s="15"/>
      <c r="AC909" s="133"/>
      <c r="AE909" s="15"/>
      <c r="AF909" s="196"/>
      <c r="AH909" s="15"/>
      <c r="AI909" s="15"/>
      <c r="AJ909" s="15"/>
      <c r="AK909" s="121"/>
      <c r="AM909" s="15"/>
      <c r="AN909" s="15"/>
      <c r="AP909" s="133"/>
      <c r="AR909" s="15"/>
      <c r="AS909" s="15"/>
      <c r="AU909" s="15"/>
      <c r="AV909" s="15"/>
      <c r="AW909" s="15"/>
      <c r="AX909" s="121"/>
      <c r="AZ909" s="15"/>
      <c r="BA909" s="15"/>
      <c r="BC909" s="133"/>
      <c r="BE909" s="15"/>
      <c r="BF909" s="15"/>
      <c r="BH909" s="15"/>
      <c r="BI909" s="15"/>
      <c r="BJ909" s="15"/>
      <c r="BK909" s="121"/>
      <c r="BM909" s="15"/>
      <c r="BN909" s="15"/>
      <c r="BP909" s="234"/>
      <c r="BR909" s="15"/>
      <c r="BS909" s="15"/>
      <c r="BU909" s="15"/>
      <c r="BV909" s="529"/>
      <c r="BW909" s="574"/>
      <c r="BX909" s="575"/>
      <c r="BY909" s="573"/>
      <c r="BZ909" s="574"/>
      <c r="CA909" s="574"/>
      <c r="CB909" s="573"/>
      <c r="CC909" s="761"/>
      <c r="CD909" s="573"/>
      <c r="CE909" s="574"/>
      <c r="CF909" s="574"/>
      <c r="CH909" s="812"/>
      <c r="CI909" s="812"/>
      <c r="CJ909" s="887"/>
      <c r="CO909" s="16"/>
    </row>
    <row r="910" spans="1:93" s="167" customFormat="1" x14ac:dyDescent="0.3">
      <c r="A910" s="172">
        <v>918</v>
      </c>
      <c r="B910" s="167" t="s">
        <v>2</v>
      </c>
      <c r="C910" s="170"/>
      <c r="D910" s="170">
        <v>51992</v>
      </c>
      <c r="E910" s="170"/>
      <c r="F910" s="167" t="s">
        <v>2</v>
      </c>
      <c r="G910" s="167" t="s">
        <v>613</v>
      </c>
      <c r="H910" s="174"/>
      <c r="I910" s="248"/>
      <c r="J910" s="173"/>
      <c r="K910" s="171" t="str">
        <f>IF(H910=0," ",(J910-H910)/H910)</f>
        <v xml:space="preserve"> </v>
      </c>
      <c r="M910" s="175">
        <v>75000</v>
      </c>
      <c r="N910" s="175">
        <v>100000</v>
      </c>
      <c r="P910" s="176"/>
      <c r="R910" s="174">
        <f>75000+25000</f>
        <v>100000</v>
      </c>
      <c r="S910" s="174">
        <v>0</v>
      </c>
      <c r="U910" s="174"/>
      <c r="V910" s="248">
        <v>25000</v>
      </c>
      <c r="W910" s="16">
        <f>U910+V910</f>
        <v>25000</v>
      </c>
      <c r="X910" s="171" t="str">
        <f>IF(U910=0," ",(W910-U910)/U910)</f>
        <v xml:space="preserve"> </v>
      </c>
      <c r="Z910" s="175">
        <v>25000</v>
      </c>
      <c r="AA910" s="175">
        <v>25000</v>
      </c>
      <c r="AC910" s="176" t="s">
        <v>688</v>
      </c>
      <c r="AE910" s="174">
        <v>25000</v>
      </c>
      <c r="AF910" s="174">
        <v>0</v>
      </c>
      <c r="AH910" s="174">
        <v>25000</v>
      </c>
      <c r="AI910" s="248"/>
      <c r="AJ910" s="16">
        <f>AH910+AI910</f>
        <v>25000</v>
      </c>
      <c r="AK910" s="171">
        <f>IF(AH910=0," ",(AJ910-AH910)/AH910)</f>
        <v>0</v>
      </c>
      <c r="AM910" s="175">
        <v>25000</v>
      </c>
      <c r="AN910" s="175">
        <v>25000</v>
      </c>
      <c r="AP910" s="176"/>
      <c r="AR910" s="30">
        <f>25000+66000</f>
        <v>91000</v>
      </c>
      <c r="AS910" s="26">
        <v>0</v>
      </c>
      <c r="AU910" s="26">
        <f>AR910</f>
        <v>91000</v>
      </c>
      <c r="AV910" s="244"/>
      <c r="AW910" s="16">
        <f>AU910+AV910</f>
        <v>91000</v>
      </c>
      <c r="AX910" s="171">
        <f>IF(AU910=0," ",(AW910-AU910)/AU910)</f>
        <v>0</v>
      </c>
      <c r="AZ910" s="117">
        <v>85000</v>
      </c>
      <c r="BA910" s="117">
        <v>85000</v>
      </c>
      <c r="BC910" s="297" t="s">
        <v>1068</v>
      </c>
      <c r="BE910" s="26">
        <v>85000</v>
      </c>
      <c r="BF910" s="26"/>
      <c r="BG910" s="310"/>
      <c r="BH910" s="26">
        <v>85000</v>
      </c>
      <c r="BI910" s="244"/>
      <c r="BJ910" s="16">
        <f>BH910+BI910</f>
        <v>85000</v>
      </c>
      <c r="BK910" s="171">
        <f>IF(BH910=0," ",(BJ910-BH910)/BH910)</f>
        <v>0</v>
      </c>
      <c r="BM910" s="117">
        <v>85000</v>
      </c>
      <c r="BN910" s="117">
        <v>75000</v>
      </c>
      <c r="BP910" s="400"/>
      <c r="BR910" s="117">
        <v>75000</v>
      </c>
      <c r="BS910" s="174"/>
      <c r="BT910" s="310"/>
      <c r="BU910" s="26">
        <v>75000</v>
      </c>
      <c r="BV910" s="244">
        <v>-50000</v>
      </c>
      <c r="BW910" s="576">
        <f>BU910+BV910</f>
        <v>25000</v>
      </c>
      <c r="BX910" s="606">
        <f>IF(BU910=0," ",(BW910-BU910)/BU910)</f>
        <v>-0.66666666666666663</v>
      </c>
      <c r="BY910" s="607"/>
      <c r="BZ910" s="166">
        <v>25000</v>
      </c>
      <c r="CA910" s="166">
        <v>10000</v>
      </c>
      <c r="CB910" s="607"/>
      <c r="CC910" s="753" t="s">
        <v>1652</v>
      </c>
      <c r="CD910" s="607"/>
      <c r="CE910" s="247">
        <v>10000</v>
      </c>
      <c r="CF910" s="166"/>
      <c r="CG910" s="310"/>
      <c r="CH910" s="819"/>
      <c r="CI910" s="819"/>
      <c r="CJ910" s="887"/>
      <c r="CO910" s="16"/>
    </row>
    <row r="911" spans="1:93" s="19" customFormat="1" x14ac:dyDescent="0.3">
      <c r="A911" s="27"/>
      <c r="B911" s="8"/>
      <c r="C911" s="42"/>
      <c r="D911" s="42"/>
      <c r="E911" s="54"/>
      <c r="F911" s="8"/>
      <c r="G911" s="57" t="s">
        <v>276</v>
      </c>
      <c r="H911" s="28">
        <f>SUM(H910)</f>
        <v>0</v>
      </c>
      <c r="I911" s="28">
        <f>SUM(I910)</f>
        <v>0</v>
      </c>
      <c r="J911" s="28">
        <f>SUM(J910)</f>
        <v>0</v>
      </c>
      <c r="K911" s="123" t="str">
        <f>IF(H911=0," ",(J911-H911)/H911)</f>
        <v xml:space="preserve"> </v>
      </c>
      <c r="M911" s="28">
        <f>SUM(M910:M910)</f>
        <v>75000</v>
      </c>
      <c r="N911" s="28">
        <f>SUM(N910:N910)</f>
        <v>100000</v>
      </c>
      <c r="P911" s="139" t="e">
        <f>SUM(#REF!)</f>
        <v>#REF!</v>
      </c>
      <c r="R911" s="28">
        <f>SUM(R910:R910)</f>
        <v>100000</v>
      </c>
      <c r="S911" s="28">
        <f>SUM(S910:S910)</f>
        <v>0</v>
      </c>
      <c r="U911" s="28">
        <f>SUM(U910:U910)</f>
        <v>0</v>
      </c>
      <c r="V911" s="28">
        <f>SUM(V910:V910)</f>
        <v>25000</v>
      </c>
      <c r="W911" s="28">
        <f>SUM(W910:W910)</f>
        <v>25000</v>
      </c>
      <c r="X911" s="123" t="str">
        <f>IF(U911=0," ",(W911-U911)/U911)</f>
        <v xml:space="preserve"> </v>
      </c>
      <c r="Z911" s="28">
        <f>SUM(Z910:Z910)</f>
        <v>25000</v>
      </c>
      <c r="AA911" s="28">
        <f>SUM(AA910:AA910)</f>
        <v>25000</v>
      </c>
      <c r="AC911" s="139" t="s">
        <v>690</v>
      </c>
      <c r="AE911" s="28">
        <f>SUM(AE910:AE910)</f>
        <v>25000</v>
      </c>
      <c r="AF911" s="201">
        <f>SUM(AF910:AF910)</f>
        <v>0</v>
      </c>
      <c r="AH911" s="28">
        <v>25000</v>
      </c>
      <c r="AI911" s="28">
        <f>SUM(AI910:AI910)</f>
        <v>0</v>
      </c>
      <c r="AJ911" s="28">
        <f>SUM(AJ910:AJ910)</f>
        <v>25000</v>
      </c>
      <c r="AK911" s="123">
        <f>IF(AH911=0," ",(AJ911-AH911)/AH911)</f>
        <v>0</v>
      </c>
      <c r="AM911" s="28">
        <f>SUM(AM910:AM910)</f>
        <v>25000</v>
      </c>
      <c r="AN911" s="28">
        <f>SUM(AN910:AN910)</f>
        <v>25000</v>
      </c>
      <c r="AP911" s="139" t="s">
        <v>690</v>
      </c>
      <c r="AR911" s="28">
        <f>SUM(AR910:AR910)</f>
        <v>91000</v>
      </c>
      <c r="AS911" s="28">
        <f>SUM(AS910:AS910)</f>
        <v>0</v>
      </c>
      <c r="AU911" s="28">
        <f>SUM(AU910:AU910)</f>
        <v>91000</v>
      </c>
      <c r="AV911" s="28">
        <f>SUM(AV910:AV910)</f>
        <v>0</v>
      </c>
      <c r="AW911" s="28">
        <f>SUM(AW910:AW910)</f>
        <v>91000</v>
      </c>
      <c r="AX911" s="123">
        <f>IF(AU911=0," ",(AW911-AU911)/AU911)</f>
        <v>0</v>
      </c>
      <c r="AZ911" s="28">
        <f>SUM(AZ910:AZ910)</f>
        <v>85000</v>
      </c>
      <c r="BA911" s="28">
        <f>SUM(BA910:BA910)</f>
        <v>85000</v>
      </c>
      <c r="BC911" s="139"/>
      <c r="BE911" s="28">
        <f>SUM(BE910:BE910)</f>
        <v>85000</v>
      </c>
      <c r="BF911" s="28">
        <f>SUM(BF910:BF910)</f>
        <v>0</v>
      </c>
      <c r="BG911" s="9"/>
      <c r="BH911" s="28">
        <f>SUM(BH910:BH910)</f>
        <v>85000</v>
      </c>
      <c r="BI911" s="28">
        <f>SUM(BI910:BI910)</f>
        <v>0</v>
      </c>
      <c r="BJ911" s="28">
        <f>SUM(BJ910:BJ910)</f>
        <v>85000</v>
      </c>
      <c r="BK911" s="123">
        <f>IF(BH911=0," ",(BJ911-BH911)/BH911)</f>
        <v>0</v>
      </c>
      <c r="BM911" s="28">
        <f>SUM(BM910:BM910)</f>
        <v>85000</v>
      </c>
      <c r="BN911" s="28">
        <f>SUM(BN910:BN910)</f>
        <v>75000</v>
      </c>
      <c r="BP911" s="139"/>
      <c r="BR911" s="28">
        <f>SUM(BR910:BR910)</f>
        <v>75000</v>
      </c>
      <c r="BS911" s="28">
        <f>SUM(BS910:BS910)</f>
        <v>0</v>
      </c>
      <c r="BT911" s="9"/>
      <c r="BU911" s="28">
        <f>SUM(BU910:BU910)</f>
        <v>75000</v>
      </c>
      <c r="BV911" s="532">
        <f>SUM(BV910:BV910)</f>
        <v>-50000</v>
      </c>
      <c r="BW911" s="591">
        <f>SUM(BW910:BW910)</f>
        <v>25000</v>
      </c>
      <c r="BX911" s="579">
        <f>IF(BU911=0," ",(BW911-BU911)/BU911)</f>
        <v>-0.66666666666666663</v>
      </c>
      <c r="BY911" s="580"/>
      <c r="BZ911" s="591">
        <f>SUM(BZ910:BZ910)</f>
        <v>25000</v>
      </c>
      <c r="CA911" s="591">
        <f>SUM(CA910:CA910)</f>
        <v>10000</v>
      </c>
      <c r="CB911" s="580"/>
      <c r="CC911" s="769"/>
      <c r="CD911" s="580"/>
      <c r="CE911" s="591">
        <f>SUM(CE910:CE910)</f>
        <v>10000</v>
      </c>
      <c r="CF911" s="591">
        <f>SUM(CF910:CF910)</f>
        <v>0</v>
      </c>
      <c r="CG911" s="9"/>
      <c r="CH911" s="815"/>
      <c r="CI911" s="815"/>
      <c r="CJ911" s="887"/>
      <c r="CO911" s="16"/>
    </row>
    <row r="912" spans="1:93" ht="9.9" customHeight="1" x14ac:dyDescent="0.3">
      <c r="AS912" s="16"/>
      <c r="CO912" s="16"/>
    </row>
    <row r="913" spans="1:93" s="1" customFormat="1" x14ac:dyDescent="0.3">
      <c r="A913" s="20"/>
      <c r="B913" s="5"/>
      <c r="C913" s="39"/>
      <c r="D913" s="39"/>
      <c r="E913" s="51"/>
      <c r="F913" s="5"/>
      <c r="G913" s="21" t="s">
        <v>277</v>
      </c>
      <c r="H913" s="22">
        <f t="shared" ref="H913" si="492">SUM(H911)</f>
        <v>0</v>
      </c>
      <c r="I913" s="22">
        <f>SUM(I911)</f>
        <v>0</v>
      </c>
      <c r="J913" s="22">
        <f>SUM(J911)</f>
        <v>0</v>
      </c>
      <c r="K913" s="124" t="str">
        <f>IF(H913=0," ",(J913-H913)/H913)</f>
        <v xml:space="preserve"> </v>
      </c>
      <c r="M913" s="22">
        <f>SUM(M911)</f>
        <v>75000</v>
      </c>
      <c r="N913" s="22">
        <f>SUM(N911)</f>
        <v>100000</v>
      </c>
      <c r="P913" s="136" t="e">
        <f>SUM(P911)</f>
        <v>#REF!</v>
      </c>
      <c r="R913" s="22">
        <f>SUM(R911)</f>
        <v>100000</v>
      </c>
      <c r="S913" s="22">
        <f>SUM(S911)</f>
        <v>0</v>
      </c>
      <c r="U913" s="22">
        <f>SUM(U911)</f>
        <v>0</v>
      </c>
      <c r="V913" s="22">
        <f>SUM(V911)</f>
        <v>25000</v>
      </c>
      <c r="W913" s="22">
        <f>SUM(W911)</f>
        <v>25000</v>
      </c>
      <c r="X913" s="124" t="str">
        <f>IF(U913=0," ",(W913-U913)/U913)</f>
        <v xml:space="preserve"> </v>
      </c>
      <c r="Z913" s="22">
        <f>SUM(Z911)</f>
        <v>25000</v>
      </c>
      <c r="AA913" s="22">
        <f>SUM(AA911)</f>
        <v>25000</v>
      </c>
      <c r="AC913" s="136"/>
      <c r="AE913" s="22">
        <f>SUM(AE911)</f>
        <v>25000</v>
      </c>
      <c r="AF913" s="199">
        <f>SUM(AF911)</f>
        <v>0</v>
      </c>
      <c r="AH913" s="22">
        <v>25000</v>
      </c>
      <c r="AI913" s="22">
        <f>SUM(AI911)</f>
        <v>0</v>
      </c>
      <c r="AJ913" s="22">
        <f>SUM(AJ911)</f>
        <v>25000</v>
      </c>
      <c r="AK913" s="124">
        <f>IF(AH913=0," ",(AJ913-AH913)/AH913)</f>
        <v>0</v>
      </c>
      <c r="AM913" s="22">
        <f>SUM(AM911)</f>
        <v>25000</v>
      </c>
      <c r="AN913" s="22">
        <f>SUM(AN911)</f>
        <v>25000</v>
      </c>
      <c r="AP913" s="136"/>
      <c r="AR913" s="22">
        <f>SUM(AR911)</f>
        <v>91000</v>
      </c>
      <c r="AS913" s="22">
        <f>SUM(AS911)</f>
        <v>0</v>
      </c>
      <c r="AU913" s="22">
        <f>SUM(AU911)</f>
        <v>91000</v>
      </c>
      <c r="AV913" s="22">
        <f>SUM(AV911)</f>
        <v>0</v>
      </c>
      <c r="AW913" s="22">
        <f>SUM(AW911)</f>
        <v>91000</v>
      </c>
      <c r="AX913" s="124">
        <f>IF(AU913=0," ",(AW913-AU913)/AU913)</f>
        <v>0</v>
      </c>
      <c r="AZ913" s="22">
        <f>SUM(AZ911)</f>
        <v>85000</v>
      </c>
      <c r="BA913" s="22">
        <f>SUM(BA911)</f>
        <v>85000</v>
      </c>
      <c r="BC913" s="136"/>
      <c r="BE913" s="22">
        <f>SUM(BE911)</f>
        <v>85000</v>
      </c>
      <c r="BF913" s="22">
        <f>SUM(BF911)</f>
        <v>0</v>
      </c>
      <c r="BH913" s="22">
        <f>SUM(BH911)</f>
        <v>85000</v>
      </c>
      <c r="BI913" s="22">
        <f>SUM(BI911)</f>
        <v>0</v>
      </c>
      <c r="BJ913" s="22">
        <f>SUM(BJ911)</f>
        <v>85000</v>
      </c>
      <c r="BK913" s="124">
        <f>IF(BH913=0," ",(BJ913-BH913)/BH913)</f>
        <v>0</v>
      </c>
      <c r="BM913" s="22">
        <f>SUM(BM911)</f>
        <v>85000</v>
      </c>
      <c r="BN913" s="22">
        <f>SUM(BN911)</f>
        <v>75000</v>
      </c>
      <c r="BP913" s="136"/>
      <c r="BR913" s="22">
        <f>SUM(BR911)</f>
        <v>75000</v>
      </c>
      <c r="BS913" s="22">
        <f>SUM(BS911)</f>
        <v>0</v>
      </c>
      <c r="BU913" s="22">
        <f>SUM(BU911)</f>
        <v>75000</v>
      </c>
      <c r="BV913" s="531">
        <f>SUM(BV911)</f>
        <v>-50000</v>
      </c>
      <c r="BW913" s="581">
        <f>SUM(BW911)</f>
        <v>25000</v>
      </c>
      <c r="BX913" s="582">
        <f>IF(BU913=0," ",(BW913-BU913)/BU913)</f>
        <v>-0.66666666666666663</v>
      </c>
      <c r="BY913" s="573"/>
      <c r="BZ913" s="581">
        <f>SUM(BZ911)</f>
        <v>25000</v>
      </c>
      <c r="CA913" s="581">
        <f>SUM(CA911)</f>
        <v>10000</v>
      </c>
      <c r="CB913" s="573"/>
      <c r="CC913" s="764"/>
      <c r="CD913" s="573"/>
      <c r="CE913" s="581">
        <f>SUM(CE911)</f>
        <v>10000</v>
      </c>
      <c r="CF913" s="581">
        <f>SUM(CF911)</f>
        <v>0</v>
      </c>
      <c r="CH913" s="812"/>
      <c r="CI913" s="812"/>
      <c r="CJ913" s="887"/>
      <c r="CO913" s="16"/>
    </row>
    <row r="914" spans="1:93" s="1" customFormat="1" ht="20.100000000000001" customHeight="1" x14ac:dyDescent="0.3">
      <c r="A914" s="361"/>
      <c r="B914" s="362"/>
      <c r="C914" s="363"/>
      <c r="D914" s="363"/>
      <c r="E914" s="364"/>
      <c r="F914" s="362"/>
      <c r="G914" s="362"/>
      <c r="H914" s="365"/>
      <c r="I914" s="365"/>
      <c r="J914" s="365"/>
      <c r="K914" s="367"/>
      <c r="M914" s="365"/>
      <c r="N914" s="365"/>
      <c r="P914" s="368"/>
      <c r="R914" s="365"/>
      <c r="S914" s="365"/>
      <c r="U914" s="365"/>
      <c r="V914" s="365"/>
      <c r="W914" s="365"/>
      <c r="X914" s="369"/>
      <c r="Z914" s="365"/>
      <c r="AA914" s="365"/>
      <c r="AC914" s="368"/>
      <c r="AE914" s="365"/>
      <c r="AF914" s="366"/>
      <c r="AH914" s="365"/>
      <c r="AI914" s="365"/>
      <c r="AJ914" s="365"/>
      <c r="AK914" s="369"/>
      <c r="AM914" s="365"/>
      <c r="AN914" s="365"/>
      <c r="AP914" s="368"/>
      <c r="AR914" s="365"/>
      <c r="AS914" s="365"/>
      <c r="AU914" s="365"/>
      <c r="AV914" s="365"/>
      <c r="AW914" s="365"/>
      <c r="AX914" s="369"/>
      <c r="AZ914" s="365"/>
      <c r="BA914" s="365"/>
      <c r="BC914" s="368"/>
      <c r="BE914" s="365"/>
      <c r="BF914" s="365"/>
      <c r="BH914" s="365"/>
      <c r="BI914" s="365"/>
      <c r="BJ914" s="365"/>
      <c r="BK914" s="369"/>
      <c r="BM914" s="365"/>
      <c r="BN914" s="365"/>
      <c r="BP914" s="401"/>
      <c r="BR914" s="365"/>
      <c r="BS914" s="365"/>
      <c r="BU914" s="365"/>
      <c r="BV914" s="425"/>
      <c r="BW914" s="365"/>
      <c r="BX914" s="608"/>
      <c r="BY914" s="573"/>
      <c r="BZ914" s="365"/>
      <c r="CA914" s="365"/>
      <c r="CB914" s="573"/>
      <c r="CC914" s="785"/>
      <c r="CD914" s="573"/>
      <c r="CE914" s="365"/>
      <c r="CF914" s="365"/>
      <c r="CH914" s="812"/>
      <c r="CI914" s="812"/>
      <c r="CJ914" s="887"/>
      <c r="CO914" s="16"/>
    </row>
    <row r="915" spans="1:93" s="1" customFormat="1" ht="15.6" x14ac:dyDescent="0.3">
      <c r="A915" s="14" t="s">
        <v>1064</v>
      </c>
      <c r="B915" s="2"/>
      <c r="C915" s="36"/>
      <c r="D915" s="36"/>
      <c r="E915" s="48"/>
      <c r="F915" s="2"/>
      <c r="G915" s="2"/>
      <c r="H915" s="15"/>
      <c r="I915" s="15"/>
      <c r="J915" s="15"/>
      <c r="K915" s="121"/>
      <c r="M915" s="15"/>
      <c r="N915" s="15"/>
      <c r="P915" s="133"/>
      <c r="R915" s="370" t="s">
        <v>1065</v>
      </c>
      <c r="S915" s="371" t="s">
        <v>1066</v>
      </c>
      <c r="U915" s="15"/>
      <c r="V915" s="15"/>
      <c r="W915" s="15"/>
      <c r="X915" s="121"/>
      <c r="Z915" s="15"/>
      <c r="AA915" s="15"/>
      <c r="AC915" s="133"/>
      <c r="AE915" s="133"/>
      <c r="AF915" s="371" t="s">
        <v>1066</v>
      </c>
      <c r="AH915" s="15"/>
      <c r="AI915" s="15"/>
      <c r="AJ915" s="15"/>
      <c r="AK915" s="121"/>
      <c r="AM915" s="15"/>
      <c r="AN915" s="15"/>
      <c r="AP915" s="133"/>
      <c r="AR915" s="370" t="s">
        <v>1065</v>
      </c>
      <c r="AS915" s="15"/>
      <c r="AU915" s="15"/>
      <c r="AV915" s="15"/>
      <c r="AW915" s="15"/>
      <c r="AX915" s="121"/>
      <c r="AZ915" s="15"/>
      <c r="BA915" s="15"/>
      <c r="BC915" s="133"/>
      <c r="BE915" s="15"/>
      <c r="BF915" s="15"/>
      <c r="BH915" s="15"/>
      <c r="BI915" s="15"/>
      <c r="BJ915" s="15"/>
      <c r="BK915" s="121"/>
      <c r="BM915" s="15"/>
      <c r="BN915" s="15"/>
      <c r="BP915" s="234"/>
      <c r="BR915" s="15"/>
      <c r="BS915" s="15"/>
      <c r="BU915" s="15"/>
      <c r="BV915" s="529"/>
      <c r="BW915" s="574"/>
      <c r="BX915" s="575"/>
      <c r="BY915" s="573"/>
      <c r="BZ915" s="574"/>
      <c r="CA915" s="574"/>
      <c r="CB915" s="573"/>
      <c r="CC915" s="761"/>
      <c r="CD915" s="573"/>
      <c r="CE915" s="574"/>
      <c r="CF915" s="574"/>
      <c r="CH915" s="812"/>
      <c r="CI915" s="812"/>
      <c r="CJ915" s="887"/>
      <c r="CO915" s="16"/>
    </row>
    <row r="916" spans="1:93" x14ac:dyDescent="0.3">
      <c r="A916" s="11">
        <v>990</v>
      </c>
      <c r="B916" s="3" t="s">
        <v>2</v>
      </c>
      <c r="C916" s="37">
        <v>99200</v>
      </c>
      <c r="D916" s="37">
        <v>59600</v>
      </c>
      <c r="F916" s="3" t="s">
        <v>2</v>
      </c>
      <c r="G916" s="287" t="s">
        <v>958</v>
      </c>
      <c r="H916" s="26"/>
      <c r="I916" s="244"/>
      <c r="J916" s="16">
        <f>H916+I916</f>
        <v>0</v>
      </c>
      <c r="M916" s="117"/>
      <c r="N916" s="117"/>
      <c r="P916" s="259"/>
      <c r="R916" s="26"/>
      <c r="S916" s="26"/>
      <c r="U916" s="26"/>
      <c r="V916" s="244"/>
      <c r="W916" s="16">
        <f>U916+V916</f>
        <v>0</v>
      </c>
      <c r="X916" s="122" t="str">
        <f>IF(U916=0," ",(W916-U916)/U916)</f>
        <v xml:space="preserve"> </v>
      </c>
      <c r="Z916" s="117"/>
      <c r="AA916" s="117"/>
      <c r="AC916" s="259"/>
      <c r="AE916" s="26">
        <v>0</v>
      </c>
      <c r="AF916" s="200">
        <v>99000</v>
      </c>
      <c r="AH916" s="26"/>
      <c r="AI916" s="117"/>
      <c r="AJ916" s="16">
        <f>AH916+AI916</f>
        <v>0</v>
      </c>
      <c r="AK916" s="122" t="str">
        <f>IF(AH916=0," ",(AJ916-AH916)/AH916)</f>
        <v xml:space="preserve"> </v>
      </c>
      <c r="AM916" s="117"/>
      <c r="AN916" s="117"/>
      <c r="AO916" s="178"/>
      <c r="AP916" s="282"/>
      <c r="AR916" s="26"/>
      <c r="AS916" s="26"/>
      <c r="AU916" s="26"/>
      <c r="AV916" s="15"/>
      <c r="AW916" s="16">
        <f>AU916+AV916</f>
        <v>0</v>
      </c>
      <c r="AX916" s="122" t="str">
        <f>IF(AU916=0," ",(AW916-AU916)/AU916)</f>
        <v xml:space="preserve"> </v>
      </c>
      <c r="AZ916" s="117"/>
      <c r="BA916" s="117"/>
      <c r="BB916" s="178"/>
      <c r="BC916" s="282"/>
      <c r="BE916" s="26"/>
      <c r="BF916" s="26"/>
      <c r="BH916" s="26"/>
      <c r="BI916" s="15"/>
      <c r="BJ916" s="16">
        <f>BH916+BI916</f>
        <v>0</v>
      </c>
      <c r="BK916" s="122" t="str">
        <f>IF(BH916=0," ",(BJ916-BH916)/BH916)</f>
        <v xml:space="preserve"> </v>
      </c>
      <c r="BM916" s="117"/>
      <c r="BN916" s="117"/>
      <c r="BO916" s="178"/>
      <c r="BP916" s="259"/>
      <c r="BR916" s="117"/>
      <c r="BS916" s="26"/>
      <c r="BU916" s="26"/>
      <c r="BV916" s="117"/>
      <c r="BW916" s="576">
        <f>BU916+BV916</f>
        <v>0</v>
      </c>
      <c r="BX916" s="577" t="str">
        <f>IF(BU916=0," ",(BW916-BU916)/BU916)</f>
        <v xml:space="preserve"> </v>
      </c>
      <c r="BZ916" s="166">
        <v>0</v>
      </c>
      <c r="CA916" s="166">
        <v>0</v>
      </c>
      <c r="CC916" s="753"/>
      <c r="CE916" s="166">
        <v>0</v>
      </c>
      <c r="CF916" s="166"/>
      <c r="CO916" s="16"/>
    </row>
    <row r="917" spans="1:93" x14ac:dyDescent="0.3">
      <c r="A917" s="11">
        <v>990</v>
      </c>
      <c r="B917" s="3" t="s">
        <v>2</v>
      </c>
      <c r="C917" s="37">
        <v>99200</v>
      </c>
      <c r="D917" s="37">
        <v>59601</v>
      </c>
      <c r="F917" s="3" t="s">
        <v>2</v>
      </c>
      <c r="G917" s="287" t="s">
        <v>883</v>
      </c>
      <c r="H917" s="26"/>
      <c r="I917" s="244">
        <v>60000</v>
      </c>
      <c r="J917" s="16">
        <f>H917+I917</f>
        <v>60000</v>
      </c>
      <c r="M917" s="117">
        <v>60000</v>
      </c>
      <c r="N917" s="117">
        <v>60000</v>
      </c>
      <c r="P917" s="259"/>
      <c r="R917" s="26">
        <v>60000</v>
      </c>
      <c r="S917" s="26">
        <v>60000</v>
      </c>
      <c r="U917" s="26"/>
      <c r="V917" s="244">
        <v>15000</v>
      </c>
      <c r="W917" s="16">
        <f>U917+V917</f>
        <v>15000</v>
      </c>
      <c r="X917" s="122" t="str">
        <f>IF(U917=0," ",(W917-U917)/U917)</f>
        <v xml:space="preserve"> </v>
      </c>
      <c r="Z917" s="117">
        <v>15000</v>
      </c>
      <c r="AA917" s="117">
        <v>15000</v>
      </c>
      <c r="AC917" s="259" t="s">
        <v>1102</v>
      </c>
      <c r="AE917" s="26">
        <v>0</v>
      </c>
      <c r="AF917" s="200">
        <v>15000</v>
      </c>
      <c r="AH917" s="26"/>
      <c r="AI917" s="117">
        <v>15000</v>
      </c>
      <c r="AJ917" s="16">
        <f>AH917+AI917</f>
        <v>15000</v>
      </c>
      <c r="AK917" s="122" t="str">
        <f>IF(AH917=0," ",(AJ917-AH917)/AH917)</f>
        <v xml:space="preserve"> </v>
      </c>
      <c r="AM917" s="117">
        <v>15000</v>
      </c>
      <c r="AN917" s="117">
        <v>15000</v>
      </c>
      <c r="AO917" s="178"/>
      <c r="AP917" s="282" t="s">
        <v>885</v>
      </c>
      <c r="AR917" s="26">
        <v>15000</v>
      </c>
      <c r="AS917" s="26">
        <v>15000</v>
      </c>
      <c r="AU917" s="26">
        <v>15000</v>
      </c>
      <c r="AV917" s="15"/>
      <c r="AW917" s="16">
        <f>AU917+AV917</f>
        <v>15000</v>
      </c>
      <c r="AZ917" s="117">
        <v>15000</v>
      </c>
      <c r="BA917" s="117">
        <v>15000</v>
      </c>
      <c r="BB917" s="178"/>
      <c r="BC917" s="266" t="s">
        <v>1069</v>
      </c>
      <c r="BE917" s="26">
        <v>15000</v>
      </c>
      <c r="BF917" s="26"/>
      <c r="BH917" s="26">
        <v>15000</v>
      </c>
      <c r="BI917" s="15"/>
      <c r="BJ917" s="16">
        <f>BH917+BI917</f>
        <v>15000</v>
      </c>
      <c r="BM917" s="117">
        <v>15000</v>
      </c>
      <c r="BN917" s="117">
        <v>0</v>
      </c>
      <c r="BO917" s="178"/>
      <c r="BP917" s="430" t="s">
        <v>1210</v>
      </c>
      <c r="BR917" s="117">
        <v>0</v>
      </c>
      <c r="BS917" s="26"/>
      <c r="BU917" s="26">
        <v>0</v>
      </c>
      <c r="BV917" s="117">
        <v>0</v>
      </c>
      <c r="BW917" s="576">
        <f>BU917+BV917</f>
        <v>0</v>
      </c>
      <c r="BZ917" s="166">
        <v>0</v>
      </c>
      <c r="CA917" s="166">
        <v>0</v>
      </c>
      <c r="CC917" s="753"/>
      <c r="CE917" s="166">
        <v>0</v>
      </c>
      <c r="CF917" s="166"/>
      <c r="CO917" s="16"/>
    </row>
    <row r="918" spans="1:93" x14ac:dyDescent="0.3">
      <c r="A918" s="11">
        <v>990</v>
      </c>
      <c r="B918" s="3" t="s">
        <v>2</v>
      </c>
      <c r="C918" s="37">
        <v>99200</v>
      </c>
      <c r="D918" s="37">
        <v>59602</v>
      </c>
      <c r="F918" s="3" t="s">
        <v>2</v>
      </c>
      <c r="G918" s="287" t="s">
        <v>882</v>
      </c>
      <c r="H918" s="26"/>
      <c r="I918" s="244"/>
      <c r="J918" s="16">
        <f>H918+I918</f>
        <v>0</v>
      </c>
      <c r="M918" s="117"/>
      <c r="N918" s="117"/>
      <c r="P918" s="259"/>
      <c r="R918" s="26"/>
      <c r="S918" s="26">
        <v>50000</v>
      </c>
      <c r="U918" s="26"/>
      <c r="V918" s="244">
        <v>40000</v>
      </c>
      <c r="W918" s="16">
        <f>U918+V918</f>
        <v>40000</v>
      </c>
      <c r="X918" s="122" t="str">
        <f>IF(U918=0," ",(W918-U918)/U918)</f>
        <v xml:space="preserve"> </v>
      </c>
      <c r="Z918" s="117">
        <v>40000</v>
      </c>
      <c r="AA918" s="117">
        <v>40000</v>
      </c>
      <c r="AC918" s="259"/>
      <c r="AE918" s="26">
        <v>0</v>
      </c>
      <c r="AF918" s="200"/>
      <c r="AH918" s="26"/>
      <c r="AI918" s="117">
        <v>40000</v>
      </c>
      <c r="AJ918" s="16">
        <f>AH918+AI918</f>
        <v>40000</v>
      </c>
      <c r="AK918" s="122" t="str">
        <f>IF(AH918=0," ",(AJ918-AH918)/AH918)</f>
        <v xml:space="preserve"> </v>
      </c>
      <c r="AM918" s="117">
        <v>40000</v>
      </c>
      <c r="AN918" s="117">
        <v>40000</v>
      </c>
      <c r="AP918" s="289" t="s">
        <v>886</v>
      </c>
      <c r="AR918" s="26">
        <v>40000</v>
      </c>
      <c r="AS918" s="26">
        <v>45200</v>
      </c>
      <c r="AU918" s="26">
        <v>40000</v>
      </c>
      <c r="AV918" s="15"/>
      <c r="AW918" s="16">
        <f>AU918+AV918</f>
        <v>40000</v>
      </c>
      <c r="AZ918" s="117">
        <v>40000</v>
      </c>
      <c r="BA918" s="117">
        <v>0</v>
      </c>
      <c r="BC918" s="266" t="s">
        <v>1084</v>
      </c>
      <c r="BE918" s="26">
        <v>0</v>
      </c>
      <c r="BF918" s="26">
        <v>100000</v>
      </c>
      <c r="BH918" s="26">
        <v>0</v>
      </c>
      <c r="BI918" s="15"/>
      <c r="BJ918" s="16">
        <f>BH918+BI918</f>
        <v>0</v>
      </c>
      <c r="BM918" s="117"/>
      <c r="BN918" s="117"/>
      <c r="BP918" s="430" t="s">
        <v>1209</v>
      </c>
      <c r="BR918" s="117"/>
      <c r="BS918" s="26"/>
      <c r="BU918" s="26"/>
      <c r="BV918" s="117"/>
      <c r="BW918" s="576">
        <f>BU918+BV918</f>
        <v>0</v>
      </c>
      <c r="BZ918" s="166">
        <v>0</v>
      </c>
      <c r="CA918" s="166">
        <v>0</v>
      </c>
      <c r="CC918" s="753"/>
      <c r="CE918" s="166">
        <v>0</v>
      </c>
      <c r="CF918" s="166"/>
      <c r="CO918" s="16"/>
    </row>
    <row r="919" spans="1:93" x14ac:dyDescent="0.3">
      <c r="A919" s="11">
        <v>990</v>
      </c>
      <c r="B919" s="3" t="s">
        <v>2</v>
      </c>
      <c r="C919" s="37">
        <v>99200</v>
      </c>
      <c r="D919" s="37">
        <v>59603</v>
      </c>
      <c r="F919" s="3" t="s">
        <v>2</v>
      </c>
      <c r="G919" s="3" t="s">
        <v>881</v>
      </c>
      <c r="H919" s="26"/>
      <c r="I919" s="244"/>
      <c r="J919" s="16">
        <f>H919+I919</f>
        <v>0</v>
      </c>
      <c r="M919" s="117"/>
      <c r="N919" s="117"/>
      <c r="P919" s="259"/>
      <c r="R919" s="26"/>
      <c r="S919" s="26">
        <v>40109</v>
      </c>
      <c r="U919" s="26"/>
      <c r="V919" s="244">
        <v>15000</v>
      </c>
      <c r="W919" s="16">
        <f>U919+V919</f>
        <v>15000</v>
      </c>
      <c r="X919" s="122" t="str">
        <f>IF(U919=0," ",(W919-U919)/U919)</f>
        <v xml:space="preserve"> </v>
      </c>
      <c r="Z919" s="117">
        <v>15000</v>
      </c>
      <c r="AA919" s="117">
        <v>15000</v>
      </c>
      <c r="AC919" s="259"/>
      <c r="AE919" s="26">
        <v>0</v>
      </c>
      <c r="AF919" s="200"/>
      <c r="AH919" s="26"/>
      <c r="AI919" s="117">
        <v>15000</v>
      </c>
      <c r="AJ919" s="16">
        <f>AH919+AI919</f>
        <v>15000</v>
      </c>
      <c r="AK919" s="122" t="str">
        <f>IF(AH919=0," ",(AJ919-AH919)/AH919)</f>
        <v xml:space="preserve"> </v>
      </c>
      <c r="AM919" s="117">
        <v>15000</v>
      </c>
      <c r="AN919" s="117">
        <v>15000</v>
      </c>
      <c r="AO919" s="178"/>
      <c r="AP919" s="288" t="s">
        <v>887</v>
      </c>
      <c r="AR919" s="26">
        <v>15000</v>
      </c>
      <c r="AS919" s="26">
        <v>15000</v>
      </c>
      <c r="AU919" s="26">
        <v>15000</v>
      </c>
      <c r="AV919" s="15"/>
      <c r="AW919" s="16">
        <f>AU919+AV919</f>
        <v>15000</v>
      </c>
      <c r="AZ919" s="117">
        <v>0</v>
      </c>
      <c r="BA919" s="117"/>
      <c r="BB919" s="178"/>
      <c r="BC919" s="266" t="s">
        <v>1069</v>
      </c>
      <c r="BE919" s="26"/>
      <c r="BF919" s="26">
        <v>15000</v>
      </c>
      <c r="BH919" s="26"/>
      <c r="BI919" s="15"/>
      <c r="BJ919" s="16">
        <f>BH919+BI919</f>
        <v>0</v>
      </c>
      <c r="BM919" s="117"/>
      <c r="BN919" s="117">
        <v>20000</v>
      </c>
      <c r="BO919" s="178"/>
      <c r="BP919" s="430" t="s">
        <v>1208</v>
      </c>
      <c r="BR919" s="117">
        <v>20000</v>
      </c>
      <c r="BS919" s="26"/>
      <c r="BU919" s="26">
        <v>20000</v>
      </c>
      <c r="BV919" s="117">
        <v>-20000</v>
      </c>
      <c r="BW919" s="576">
        <f>BU919+BV919</f>
        <v>0</v>
      </c>
      <c r="BZ919" s="166">
        <v>0</v>
      </c>
      <c r="CA919" s="166">
        <v>0</v>
      </c>
      <c r="CC919" s="753"/>
      <c r="CE919" s="166">
        <v>0</v>
      </c>
      <c r="CF919" s="166"/>
      <c r="CO919" s="16"/>
    </row>
    <row r="920" spans="1:93" s="19" customFormat="1" x14ac:dyDescent="0.3">
      <c r="A920" s="27"/>
      <c r="B920" s="8"/>
      <c r="C920" s="42"/>
      <c r="D920" s="42"/>
      <c r="E920" s="54"/>
      <c r="F920" s="8"/>
      <c r="G920" s="57" t="s">
        <v>884</v>
      </c>
      <c r="H920" s="28">
        <f>SUM(H917:H919)</f>
        <v>0</v>
      </c>
      <c r="I920" s="28">
        <f>SUM(I917:I919)</f>
        <v>60000</v>
      </c>
      <c r="J920" s="28">
        <f>SUM(J917:J919)</f>
        <v>60000</v>
      </c>
      <c r="K920" s="123" t="str">
        <f>IF(H920=0," ",(J920-H920)/H920)</f>
        <v xml:space="preserve"> </v>
      </c>
      <c r="M920" s="28">
        <f>SUM(M917:M919)</f>
        <v>60000</v>
      </c>
      <c r="N920" s="28">
        <f>SUM(N917:N919)</f>
        <v>60000</v>
      </c>
      <c r="P920" s="139">
        <f>SUM(P917:P919)</f>
        <v>0</v>
      </c>
      <c r="R920" s="28">
        <f>SUM(R917:R919)</f>
        <v>60000</v>
      </c>
      <c r="S920" s="28">
        <f>SUM(S917:S919)</f>
        <v>150109</v>
      </c>
      <c r="U920" s="28">
        <f>SUM(U917:U919)</f>
        <v>0</v>
      </c>
      <c r="V920" s="28">
        <f>SUM(V917:V919)</f>
        <v>70000</v>
      </c>
      <c r="W920" s="28">
        <f>SUM(W917:W919)</f>
        <v>70000</v>
      </c>
      <c r="X920" s="123" t="str">
        <f>IF(U920=0," ",(W920-U920)/U920)</f>
        <v xml:space="preserve"> </v>
      </c>
      <c r="Z920" s="28">
        <f>SUM(Z917:Z919)</f>
        <v>70000</v>
      </c>
      <c r="AA920" s="28">
        <f>SUM(AA917:AA919)</f>
        <v>70000</v>
      </c>
      <c r="AC920" s="139"/>
      <c r="AE920" s="28">
        <f>SUM(AE916:AE919)</f>
        <v>0</v>
      </c>
      <c r="AF920" s="201">
        <f>SUM(AF916:AF919)</f>
        <v>114000</v>
      </c>
      <c r="AH920" s="28">
        <f>SUM(AH916:AH919)</f>
        <v>0</v>
      </c>
      <c r="AI920" s="28">
        <f>SUM(AI916:AI919)</f>
        <v>70000</v>
      </c>
      <c r="AJ920" s="28">
        <f>SUM(AJ916:AJ919)</f>
        <v>70000</v>
      </c>
      <c r="AK920" s="123" t="str">
        <f>IF(AH920=0," ",(AJ920-AH920)/AH920)</f>
        <v xml:space="preserve"> </v>
      </c>
      <c r="AM920" s="28">
        <f>SUM(AM916:AM919)</f>
        <v>70000</v>
      </c>
      <c r="AN920" s="28">
        <f>SUM(AN916:AN919)</f>
        <v>70000</v>
      </c>
      <c r="AP920" s="139"/>
      <c r="AR920" s="28">
        <f>SUM(AR916:AR919)</f>
        <v>70000</v>
      </c>
      <c r="AS920" s="28">
        <f>SUM(AS916:AS919)</f>
        <v>75200</v>
      </c>
      <c r="AU920" s="28">
        <f>SUM(AU916:AU919)</f>
        <v>70000</v>
      </c>
      <c r="AV920" s="28">
        <f>SUM(AV916:AV919)</f>
        <v>0</v>
      </c>
      <c r="AW920" s="28">
        <f>SUM(AW916:AW919)</f>
        <v>70000</v>
      </c>
      <c r="AX920" s="123">
        <f>IF(AU920=0," ",(AW920-AU920)/AU920)</f>
        <v>0</v>
      </c>
      <c r="AZ920" s="28">
        <f>SUM(AZ916:AZ919)</f>
        <v>55000</v>
      </c>
      <c r="BA920" s="28">
        <f>SUM(BA916:BA919)</f>
        <v>15000</v>
      </c>
      <c r="BC920" s="139"/>
      <c r="BE920" s="28">
        <f>SUM(BE916:BE919)</f>
        <v>15000</v>
      </c>
      <c r="BF920" s="28">
        <f>SUM(BF916:BF919)</f>
        <v>115000</v>
      </c>
      <c r="BG920" s="9"/>
      <c r="BH920" s="28">
        <f>SUM(BH916:BH919)</f>
        <v>15000</v>
      </c>
      <c r="BI920" s="28">
        <f>SUM(BI916:BI919)</f>
        <v>0</v>
      </c>
      <c r="BJ920" s="28">
        <f>SUM(BJ916:BJ919)</f>
        <v>15000</v>
      </c>
      <c r="BK920" s="123">
        <f>IF(BH920=0," ",(BJ920-BH920)/BH920)</f>
        <v>0</v>
      </c>
      <c r="BM920" s="28">
        <f>SUM(BM916:BM919)</f>
        <v>15000</v>
      </c>
      <c r="BN920" s="28">
        <f>SUM(BN916:BN919)</f>
        <v>20000</v>
      </c>
      <c r="BP920" s="139"/>
      <c r="BR920" s="28">
        <f>SUM(BR916:BR919)</f>
        <v>20000</v>
      </c>
      <c r="BS920" s="28">
        <f>SUM(BS916:BS919)</f>
        <v>0</v>
      </c>
      <c r="BT920" s="9"/>
      <c r="BU920" s="28">
        <f>SUM(BU916:BU919)</f>
        <v>20000</v>
      </c>
      <c r="BV920" s="532">
        <f>SUM(BV916:BV919)</f>
        <v>-20000</v>
      </c>
      <c r="BW920" s="591">
        <f>SUM(BW916:BW919)</f>
        <v>0</v>
      </c>
      <c r="BX920" s="579">
        <f>IF(BU920=0," ",(BW920-BU920)/BU920)</f>
        <v>-1</v>
      </c>
      <c r="BY920" s="580"/>
      <c r="BZ920" s="591">
        <f>SUM(BZ916:BZ919)</f>
        <v>0</v>
      </c>
      <c r="CA920" s="591">
        <f>SUM(CA916:CA919)</f>
        <v>0</v>
      </c>
      <c r="CB920" s="580"/>
      <c r="CC920" s="769"/>
      <c r="CD920" s="580"/>
      <c r="CE920" s="591">
        <f>SUM(CE916:CE919)</f>
        <v>0</v>
      </c>
      <c r="CF920" s="591">
        <f>SUM(CF916:CF919)</f>
        <v>0</v>
      </c>
      <c r="CG920" s="9"/>
      <c r="CH920" s="815"/>
      <c r="CI920" s="815"/>
      <c r="CJ920" s="887"/>
      <c r="CO920" s="16"/>
    </row>
    <row r="921" spans="1:93" ht="9.9" customHeight="1" x14ac:dyDescent="0.3">
      <c r="AS921" s="16"/>
      <c r="CO921" s="16"/>
    </row>
    <row r="922" spans="1:93" s="1" customFormat="1" x14ac:dyDescent="0.3">
      <c r="A922" s="20"/>
      <c r="B922" s="5"/>
      <c r="C922" s="39"/>
      <c r="D922" s="39"/>
      <c r="E922" s="51"/>
      <c r="F922" s="5"/>
      <c r="G922" s="21" t="s">
        <v>1067</v>
      </c>
      <c r="H922" s="22">
        <f>H920</f>
        <v>0</v>
      </c>
      <c r="I922" s="22">
        <f>I920</f>
        <v>60000</v>
      </c>
      <c r="J922" s="22">
        <f>J920</f>
        <v>60000</v>
      </c>
      <c r="K922" s="124" t="str">
        <f>IF(H922=0," ",(J922-H922)/H922)</f>
        <v xml:space="preserve"> </v>
      </c>
      <c r="M922" s="22">
        <f>M920</f>
        <v>60000</v>
      </c>
      <c r="N922" s="22">
        <f>N920</f>
        <v>60000</v>
      </c>
      <c r="P922" s="136">
        <f>P920</f>
        <v>0</v>
      </c>
      <c r="R922" s="22">
        <f>R920</f>
        <v>60000</v>
      </c>
      <c r="S922" s="22">
        <f>S920</f>
        <v>150109</v>
      </c>
      <c r="U922" s="22">
        <f>U920</f>
        <v>0</v>
      </c>
      <c r="V922" s="22">
        <f>V920</f>
        <v>70000</v>
      </c>
      <c r="W922" s="22">
        <f>W920</f>
        <v>70000</v>
      </c>
      <c r="X922" s="124" t="str">
        <f>IF(U922=0," ",(W922-U922)/U922)</f>
        <v xml:space="preserve"> </v>
      </c>
      <c r="Z922" s="22">
        <f>Z920</f>
        <v>70000</v>
      </c>
      <c r="AA922" s="22">
        <f>AA920</f>
        <v>70000</v>
      </c>
      <c r="AC922" s="136"/>
      <c r="AE922" s="22">
        <f>AE920</f>
        <v>0</v>
      </c>
      <c r="AF922" s="199">
        <f>AF920</f>
        <v>114000</v>
      </c>
      <c r="AH922" s="22">
        <f>AH920</f>
        <v>0</v>
      </c>
      <c r="AI922" s="22">
        <f>AI920</f>
        <v>70000</v>
      </c>
      <c r="AJ922" s="22">
        <f>AJ920</f>
        <v>70000</v>
      </c>
      <c r="AK922" s="124" t="str">
        <f>IF(AH922=0," ",(AJ922-AH922)/AH922)</f>
        <v xml:space="preserve"> </v>
      </c>
      <c r="AM922" s="22">
        <f>AM920</f>
        <v>70000</v>
      </c>
      <c r="AN922" s="22">
        <f>AN920</f>
        <v>70000</v>
      </c>
      <c r="AP922" s="136"/>
      <c r="AR922" s="22">
        <f>AR920</f>
        <v>70000</v>
      </c>
      <c r="AS922" s="22">
        <f>AS920</f>
        <v>75200</v>
      </c>
      <c r="AU922" s="22">
        <f>AU920</f>
        <v>70000</v>
      </c>
      <c r="AV922" s="22">
        <f>AV920</f>
        <v>0</v>
      </c>
      <c r="AW922" s="22">
        <f>AW920</f>
        <v>70000</v>
      </c>
      <c r="AX922" s="124">
        <f>IF(AU922=0," ",(AW922-AU922)/AU922)</f>
        <v>0</v>
      </c>
      <c r="AZ922" s="22">
        <f>AZ920</f>
        <v>55000</v>
      </c>
      <c r="BA922" s="22">
        <f>BA920</f>
        <v>15000</v>
      </c>
      <c r="BC922" s="136"/>
      <c r="BE922" s="22">
        <f>BE920</f>
        <v>15000</v>
      </c>
      <c r="BF922" s="22">
        <f>BF920</f>
        <v>115000</v>
      </c>
      <c r="BH922" s="22">
        <f>BH920</f>
        <v>15000</v>
      </c>
      <c r="BI922" s="22">
        <f>BI920</f>
        <v>0</v>
      </c>
      <c r="BJ922" s="22">
        <f>BJ920</f>
        <v>15000</v>
      </c>
      <c r="BK922" s="124">
        <f>IF(BH922=0," ",(BJ922-BH922)/BH922)</f>
        <v>0</v>
      </c>
      <c r="BM922" s="22">
        <f>BM920</f>
        <v>15000</v>
      </c>
      <c r="BN922" s="22">
        <f>BN920</f>
        <v>20000</v>
      </c>
      <c r="BP922" s="136"/>
      <c r="BR922" s="22">
        <f>BR920</f>
        <v>20000</v>
      </c>
      <c r="BS922" s="22">
        <f>BS920</f>
        <v>0</v>
      </c>
      <c r="BU922" s="22">
        <f>BU920</f>
        <v>20000</v>
      </c>
      <c r="BV922" s="531">
        <f>BV920</f>
        <v>-20000</v>
      </c>
      <c r="BW922" s="581">
        <f>BW920</f>
        <v>0</v>
      </c>
      <c r="BX922" s="582">
        <f>IF(BU922=0," ",(BW922-BU922)/BU922)</f>
        <v>-1</v>
      </c>
      <c r="BY922" s="573"/>
      <c r="BZ922" s="581">
        <f>BZ920</f>
        <v>0</v>
      </c>
      <c r="CA922" s="581">
        <f>CA920</f>
        <v>0</v>
      </c>
      <c r="CB922" s="573"/>
      <c r="CC922" s="764"/>
      <c r="CD922" s="573"/>
      <c r="CE922" s="581">
        <f>CE920</f>
        <v>0</v>
      </c>
      <c r="CF922" s="581">
        <f>CF920</f>
        <v>0</v>
      </c>
      <c r="CH922" s="812"/>
      <c r="CI922" s="812"/>
      <c r="CJ922" s="886"/>
      <c r="CO922" s="16"/>
    </row>
    <row r="923" spans="1:93" ht="20.100000000000001" customHeight="1" x14ac:dyDescent="0.3">
      <c r="AS923" s="16"/>
      <c r="CO923" s="16"/>
    </row>
    <row r="924" spans="1:93" s="1" customFormat="1" ht="20.100000000000001" customHeight="1" x14ac:dyDescent="0.3">
      <c r="A924" s="58" t="s">
        <v>353</v>
      </c>
      <c r="B924" s="59"/>
      <c r="C924" s="60"/>
      <c r="D924" s="60"/>
      <c r="E924" s="61"/>
      <c r="F924" s="59"/>
      <c r="G924" s="59"/>
      <c r="H924" s="62">
        <f>H922+H913+H907+H898+H881+H887</f>
        <v>3750934</v>
      </c>
      <c r="I924" s="62">
        <f>I922+I913+I907+I898+I881+I887</f>
        <v>229747</v>
      </c>
      <c r="J924" s="62">
        <f>J922+J913+J907+J898+J881+J887</f>
        <v>3980681</v>
      </c>
      <c r="K924" s="120">
        <f>IF(H924=0," ",(J924-H924)/H924)</f>
        <v>6.1250611181108493E-2</v>
      </c>
      <c r="M924" s="62">
        <f>M922+M913+M907+M898+M881+M887</f>
        <v>4022622</v>
      </c>
      <c r="N924" s="62">
        <f>N922+N913+N907+N898+N881+N887</f>
        <v>4022622</v>
      </c>
      <c r="P924" s="132" t="e">
        <f>P913+P907+P898+P881</f>
        <v>#REF!</v>
      </c>
      <c r="R924" s="62">
        <f>R922+R913+R907+R898+R881+R887</f>
        <v>4022622</v>
      </c>
      <c r="S924" s="62">
        <f>S922+S913+S907+S898+S881+S887</f>
        <v>3810227.04</v>
      </c>
      <c r="U924" s="62">
        <f>U922+U913+U907+U898+U881+U887</f>
        <v>3862622</v>
      </c>
      <c r="V924" s="62">
        <f>V922+V913+V907+V898+V881+V887</f>
        <v>99080</v>
      </c>
      <c r="W924" s="62">
        <f>W922+W913+W907+W898+W881+W887</f>
        <v>3961702</v>
      </c>
      <c r="X924" s="120">
        <f>IF(U924=0," ",(W924-U924)/U924)</f>
        <v>2.5650969729888142E-2</v>
      </c>
      <c r="Z924" s="62">
        <f>Z922+Z913+Z907+Z898+Z881+Z887</f>
        <v>3961702</v>
      </c>
      <c r="AA924" s="62">
        <f>AA922+AA913+AA907+AA898+AA881+AA887</f>
        <v>4004577</v>
      </c>
      <c r="AC924" s="132"/>
      <c r="AE924" s="62">
        <f>AE922+AE913+AE907+AE898+AE881+AE887</f>
        <v>3934577</v>
      </c>
      <c r="AF924" s="62">
        <f>AF922+AF913+AF907+AF898+AF881+AF887</f>
        <v>3957205.4699999997</v>
      </c>
      <c r="AH924" s="62">
        <f>AH922+AH913+AH907+AH898+AH881+AH887</f>
        <v>7387651</v>
      </c>
      <c r="AI924" s="62">
        <f>AI922+AI913+AI907+AI898+AI881+AI887</f>
        <v>-3386</v>
      </c>
      <c r="AJ924" s="62">
        <f>AJ922+AJ913+AJ907+AJ898+AJ881+AJ887</f>
        <v>3931191</v>
      </c>
      <c r="AK924" s="120">
        <f>IF(AH924=0," ",(AJ924-AH924)/AH924)</f>
        <v>-0.46786996299635703</v>
      </c>
      <c r="AM924" s="62">
        <f>AM922+AM913+AM907+AM898+AM881+AM887</f>
        <v>4090770</v>
      </c>
      <c r="AN924" s="62">
        <f>AN922+AN913+AN907+AN898+AN881+AN887</f>
        <v>4090770</v>
      </c>
      <c r="AP924" s="132"/>
      <c r="AR924" s="62">
        <f>AR922+AR913+AR907+AR898+AR881+AR887</f>
        <v>4156770</v>
      </c>
      <c r="AS924" s="62">
        <f>AS922+AS913+AS907+AS898+AS881+AS887</f>
        <v>3999145.14</v>
      </c>
      <c r="AU924" s="62">
        <f>AU922+AU913+AU907+AU898+AU881+AU887</f>
        <v>4156770</v>
      </c>
      <c r="AV924" s="62">
        <f>AV922+AV913+AV907+AV898+AV881+AV887</f>
        <v>153913</v>
      </c>
      <c r="AW924" s="62">
        <f>AW922+AW913+AW907+AW898+AW881+AW887</f>
        <v>4310683</v>
      </c>
      <c r="AX924" s="120">
        <f>IF(AU924=0," ",(AW924-AU924)/AU924)</f>
        <v>3.7027066688799237E-2</v>
      </c>
      <c r="AZ924" s="62">
        <f>AZ922+AZ913+AZ907+AZ898+AZ881+AZ887</f>
        <v>4289683</v>
      </c>
      <c r="BA924" s="62">
        <f>BA922+BA913+BA907+BA898+BA881+BA887</f>
        <v>4249683</v>
      </c>
      <c r="BC924" s="62"/>
      <c r="BE924" s="62">
        <f>BE922+BE913+BE907+BE898+BE881+BE887</f>
        <v>4249683</v>
      </c>
      <c r="BF924" s="62">
        <f>BF922+BF913+BF907+BF898+BF881+BF887</f>
        <v>3974376.14</v>
      </c>
      <c r="BH924" s="62">
        <f>BH922+BH913+BH907+BH898+BH881+BH887</f>
        <v>4249683</v>
      </c>
      <c r="BI924" s="62">
        <f>BI922+BI913+BI907+BI898+BI881+BI887</f>
        <v>239149</v>
      </c>
      <c r="BJ924" s="62">
        <f>BJ922+BJ913+BJ907+BJ898+BJ881+BJ887</f>
        <v>4488832</v>
      </c>
      <c r="BK924" s="120">
        <f>IF(BH924=0," ",(BJ924-BH924)/BH924)</f>
        <v>5.6274550360579836E-2</v>
      </c>
      <c r="BM924" s="62">
        <f>BM922+BM913+BM907+BM898+BM881+BM887</f>
        <v>4328832</v>
      </c>
      <c r="BN924" s="62">
        <f>BN922+BN913+BN907+BN898+BN881+BN887</f>
        <v>4273832</v>
      </c>
      <c r="BP924" s="398"/>
      <c r="BR924" s="62">
        <f>BR922+BR913+BR907+BR898+BR881+BR887</f>
        <v>4273832</v>
      </c>
      <c r="BS924" s="62">
        <f>BS922+BS913+BS907+BS898+BS881+BS887</f>
        <v>2779116.75</v>
      </c>
      <c r="BU924" s="62">
        <f>BU922+BU913+BU907+BU898+BU881+BU887</f>
        <v>4273832</v>
      </c>
      <c r="BV924" s="62">
        <f>BV922+BV913+BV907+BV898+BV881+BV887</f>
        <v>160001</v>
      </c>
      <c r="BW924" s="62">
        <f>BW922+BW913+BW907+BW898+BW881+BW887</f>
        <v>4433833</v>
      </c>
      <c r="BX924" s="120">
        <f>IF(BU924=0," ",(BW924-BU924)/BU924)</f>
        <v>3.7437363003505988E-2</v>
      </c>
      <c r="BY924" s="573"/>
      <c r="BZ924" s="62">
        <f>BZ922+BZ913+BZ907+BZ898+BZ881+BZ887</f>
        <v>4431833</v>
      </c>
      <c r="CA924" s="62">
        <f>CA922+CA913+CA907+CA898+CA881+CA887</f>
        <v>4320833</v>
      </c>
      <c r="CB924" s="573"/>
      <c r="CC924" s="760"/>
      <c r="CD924" s="573"/>
      <c r="CE924" s="62">
        <f>CE922+CE913+CE907+CE898+CE881+CE887</f>
        <v>4320833</v>
      </c>
      <c r="CF924" s="62">
        <f>CF922+CF913+CF907+CF898+CF881+CF887</f>
        <v>0</v>
      </c>
      <c r="CH924" s="812"/>
      <c r="CI924" s="920">
        <v>4335833</v>
      </c>
      <c r="CJ924" s="906">
        <v>44634</v>
      </c>
      <c r="CK924" s="907" t="s">
        <v>1623</v>
      </c>
      <c r="CL924" s="907" t="s">
        <v>1620</v>
      </c>
      <c r="CM924" s="1" t="s">
        <v>1631</v>
      </c>
      <c r="CO924" s="16"/>
    </row>
    <row r="925" spans="1:93" s="1" customFormat="1" ht="20.100000000000001" customHeight="1" x14ac:dyDescent="0.3">
      <c r="A925" s="33"/>
      <c r="B925" s="10"/>
      <c r="C925" s="44"/>
      <c r="D925" s="44"/>
      <c r="E925" s="55"/>
      <c r="F925" s="10"/>
      <c r="G925" s="10"/>
      <c r="H925" s="34"/>
      <c r="I925" s="34"/>
      <c r="J925" s="34"/>
      <c r="K925" s="129"/>
      <c r="M925" s="34"/>
      <c r="N925" s="188"/>
      <c r="P925" s="142"/>
      <c r="R925" s="188"/>
      <c r="S925" s="188"/>
      <c r="U925" s="188"/>
      <c r="V925" s="34"/>
      <c r="W925" s="34"/>
      <c r="X925" s="129"/>
      <c r="Z925" s="34"/>
      <c r="AA925" s="188"/>
      <c r="AC925" s="142"/>
      <c r="AE925" s="188"/>
      <c r="AF925" s="277"/>
      <c r="AH925" s="188"/>
      <c r="AI925" s="34"/>
      <c r="AJ925" s="34"/>
      <c r="AK925" s="129"/>
      <c r="AM925" s="34"/>
      <c r="AN925" s="188"/>
      <c r="AP925" s="142"/>
      <c r="AR925" s="188"/>
      <c r="AS925" s="277"/>
      <c r="AU925" s="188"/>
      <c r="AV925" s="34"/>
      <c r="AW925" s="34"/>
      <c r="AX925" s="129"/>
      <c r="AZ925" s="34"/>
      <c r="BA925" s="188"/>
      <c r="BC925" s="142"/>
      <c r="BE925" s="188"/>
      <c r="BF925" s="188"/>
      <c r="BH925" s="188"/>
      <c r="BI925" s="34"/>
      <c r="BJ925" s="34"/>
      <c r="BK925" s="129"/>
      <c r="BM925" s="188"/>
      <c r="BN925" s="188"/>
      <c r="BP925" s="140"/>
      <c r="BR925" s="188"/>
      <c r="BS925" s="188"/>
      <c r="BU925" s="188"/>
      <c r="BV925" s="534"/>
      <c r="BW925" s="305"/>
      <c r="BX925" s="593"/>
      <c r="BY925" s="573"/>
      <c r="BZ925" s="305"/>
      <c r="CA925" s="305"/>
      <c r="CB925" s="573"/>
      <c r="CC925" s="752"/>
      <c r="CD925" s="573"/>
      <c r="CE925" s="305"/>
      <c r="CF925" s="305"/>
      <c r="CI925" s="26"/>
      <c r="CO925" s="16"/>
    </row>
    <row r="926" spans="1:93" s="1" customFormat="1" ht="35.1" customHeight="1" thickBot="1" x14ac:dyDescent="0.35">
      <c r="A926" s="65" t="s">
        <v>1543</v>
      </c>
      <c r="B926" s="66"/>
      <c r="C926" s="67"/>
      <c r="D926" s="67"/>
      <c r="E926" s="68"/>
      <c r="F926" s="66"/>
      <c r="G926" s="66"/>
      <c r="H926" s="69">
        <f>H924+H866+H838+H754+H680+H508+H491+H281</f>
        <v>25365096</v>
      </c>
      <c r="I926" s="69">
        <f>I924+I866+I838+I754+I680+I508+I491+I281</f>
        <v>1237182.9500000002</v>
      </c>
      <c r="J926" s="69">
        <f>J924+J866+J838+J754+J680+J508+J491+J281</f>
        <v>26602278.950000003</v>
      </c>
      <c r="K926" s="130">
        <f>K924+K866+K838+K754+K680+K508+K491+K281</f>
        <v>0.82990052706547923</v>
      </c>
      <c r="M926" s="69">
        <f>M924+M866+M838+M754+M680+M508+M491+M281</f>
        <v>26683687</v>
      </c>
      <c r="N926" s="69">
        <f>N924+N866+N838+N754+N680+N508+N491+N281</f>
        <v>26756106</v>
      </c>
      <c r="P926" s="143"/>
      <c r="R926" s="373">
        <f>R924+R866+R838+R754+R680+R508+R491+R281</f>
        <v>26756106</v>
      </c>
      <c r="S926" s="69">
        <f>S924+S866+S838+S754+S680+S508+S491+S281</f>
        <v>26028492.779999997</v>
      </c>
      <c r="U926" s="69">
        <f>U924+U866+U838+U754+U680+U508+U491+U281</f>
        <v>26600686</v>
      </c>
      <c r="V926" s="69">
        <f>V924+V866+V838+V754+V680+V508+V491+V281</f>
        <v>720796</v>
      </c>
      <c r="W926" s="69">
        <f>W924+W866+W838+W754+W680+W508+W491+W281</f>
        <v>27306872</v>
      </c>
      <c r="X926" s="209">
        <f>IF(U926=0," ",(W926-U926)/U926)</f>
        <v>2.6547661214451387E-2</v>
      </c>
      <c r="Z926" s="69">
        <f>Z924+Z866+Z838+Z754+Z680+Z508+Z491+Z281</f>
        <v>27765120</v>
      </c>
      <c r="AA926" s="69">
        <f>AA924+AA866+AA838+AA754+AA680+AA508+AA491+AA281</f>
        <v>27744471</v>
      </c>
      <c r="AC926" s="143"/>
      <c r="AE926" s="373">
        <f>AE924+AE866+AE838+AE754+AE680+AE508+AE491+AE281</f>
        <v>27674471</v>
      </c>
      <c r="AF926" s="69">
        <f>AF924+AF866+AF838+AF754+AF680+AF508+AF491+AF281</f>
        <v>27426142.809999999</v>
      </c>
      <c r="AH926" s="69">
        <f>AH924+AH866+AH838+AH754+AH680+AH508+AH491+AH281</f>
        <v>31127629</v>
      </c>
      <c r="AI926" s="69">
        <f>AI924+AI866+AI838+AI754+AI680+AI508+AI491+AI281</f>
        <v>718978</v>
      </c>
      <c r="AJ926" s="69">
        <f>AJ924+AJ866+AJ838+AJ754+AJ680+AJ508+AJ491+AJ281</f>
        <v>28389468.579999998</v>
      </c>
      <c r="AK926" s="209">
        <f>IF(AH926=0," ",(AJ926-AH926)/AH926)</f>
        <v>-8.7965595452194636E-2</v>
      </c>
      <c r="AM926" s="69">
        <f>AM924+AM866+AM838+AM754+AM680+AM508+AM491+AM281</f>
        <v>28823190</v>
      </c>
      <c r="AN926" s="69">
        <f>AN924+AN866+AN838+AN754+AN680+AN508+AN491+AN281</f>
        <v>28823190</v>
      </c>
      <c r="AP926" s="143"/>
      <c r="AR926" s="373">
        <f>AR924+AR866+AR838+AR754+AR680+AR508+AR491+AR281</f>
        <v>29492308</v>
      </c>
      <c r="AS926" s="69">
        <f>AS924+AS866+AS838+AS754+AS680+AS508+AS491+AS281</f>
        <v>28393103.240000002</v>
      </c>
      <c r="AU926" s="69">
        <f>AU924+AU866+AU838+AU754+AU680+AU508+AU491+AU281</f>
        <v>29492308</v>
      </c>
      <c r="AV926" s="69">
        <f>AV924+AV866+AV838+AV754+AV680+AV508+AV491+AV281</f>
        <v>771339</v>
      </c>
      <c r="AW926" s="69">
        <f>AW924+AW866+AW838+AW754+AW680+AW508+AW491+AW281</f>
        <v>30263647</v>
      </c>
      <c r="AX926" s="209">
        <f>IF(AU926=0," ",(AW926-AU926)/AU926)</f>
        <v>2.6153904265478308E-2</v>
      </c>
      <c r="AZ926" s="69">
        <f>AZ924+AZ866+AZ838+AZ754+AZ680+AZ508+AZ491+AZ281</f>
        <v>30205830</v>
      </c>
      <c r="BA926" s="69">
        <f>BA924+BA866+BA838+BA754+BA680+BA508+BA491+BA281</f>
        <v>29858677.189999998</v>
      </c>
      <c r="BC926" s="143"/>
      <c r="BE926" s="373">
        <f>BE924+BE866+BE838+BE754+BE680+BE508+BE491+BE281</f>
        <v>30132365</v>
      </c>
      <c r="BF926" s="69">
        <f>BF924+BF866+BF838+BF754+BF680+BF508+BF491+BF281</f>
        <v>29019443.610000003</v>
      </c>
      <c r="BH926" s="69">
        <f>BH924+BH866+BH838+BH754+BH680+BH508+BH491+BH281</f>
        <v>30132365</v>
      </c>
      <c r="BI926" s="69">
        <f>BI924+BI866+BI838+BI754+BI680+BI508+BI491+BI281</f>
        <v>613413</v>
      </c>
      <c r="BJ926" s="69">
        <f>BJ924+BJ866+BJ838+BJ754+BJ680+BJ508+BJ491+BJ281</f>
        <v>30745778</v>
      </c>
      <c r="BK926" s="209">
        <f>IF(BH926=0," ",(BJ926-BH926)/BH926)</f>
        <v>2.0357280286495933E-2</v>
      </c>
      <c r="BM926" s="69">
        <f>BM924+BM866+BM838+BM754+BM680+BM508+BM491+BM281</f>
        <v>31073591</v>
      </c>
      <c r="BN926" s="69">
        <f>BN924+BN866+BN838+BN754+BN680+BN508+BN491+BN281</f>
        <v>31127724</v>
      </c>
      <c r="BP926" s="402"/>
      <c r="BR926" s="373">
        <f>BR924+BR866+BR838+BR754+BR680+BR508+BR491+BR281</f>
        <v>31125124</v>
      </c>
      <c r="BS926" s="143">
        <f>BS924+BS866+BS838+BS754+BS680+BS508+BS491+BS281</f>
        <v>14301721.25</v>
      </c>
      <c r="BU926" s="69">
        <f>BU924+BU866+BU838+BU754+BU680+BU508+BU491+BU281</f>
        <v>31125124</v>
      </c>
      <c r="BV926" s="536">
        <f>BV924+BV866+BV838+BV754+BV680+BV508+BV491+BV281</f>
        <v>657860</v>
      </c>
      <c r="BW926" s="69">
        <f>BW924+BW866+BW838+BW754+BW680+BW508+BW491+BW281</f>
        <v>31782984</v>
      </c>
      <c r="BX926" s="609">
        <f>IF(BU926=0," ",(BW926-BU926)/BU926)</f>
        <v>2.113598005264172E-2</v>
      </c>
      <c r="BY926" s="573"/>
      <c r="BZ926" s="69">
        <f>BZ924+BZ866+BZ838+BZ754+BZ680+BZ508+BZ491+BZ281</f>
        <v>31780984</v>
      </c>
      <c r="CA926" s="69">
        <f>CA924+CA866+CA838+CA754+CA680+CA508+CA491+CA281</f>
        <v>31934835</v>
      </c>
      <c r="CB926" s="573"/>
      <c r="CC926" s="786"/>
      <c r="CD926" s="573"/>
      <c r="CE926" s="69">
        <f>CE924+CE866+CE838+CE754+CE680+CE508+CE491+CE281</f>
        <v>31934835</v>
      </c>
      <c r="CF926" s="69"/>
      <c r="CO926" s="16"/>
    </row>
    <row r="927" spans="1:93" s="1" customFormat="1" ht="14.1" customHeight="1" x14ac:dyDescent="0.3">
      <c r="A927" s="361"/>
      <c r="B927" s="362"/>
      <c r="C927" s="363"/>
      <c r="D927" s="363"/>
      <c r="E927" s="364"/>
      <c r="F927" s="362"/>
      <c r="G927" s="362"/>
      <c r="H927" s="365"/>
      <c r="I927" s="365"/>
      <c r="J927" s="365"/>
      <c r="K927" s="367"/>
      <c r="M927" s="365"/>
      <c r="N927" s="365"/>
      <c r="P927" s="368"/>
      <c r="R927" s="365"/>
      <c r="S927" s="365"/>
      <c r="U927" s="365"/>
      <c r="V927" s="365"/>
      <c r="W927" s="365"/>
      <c r="X927" s="16"/>
      <c r="Z927" s="365"/>
      <c r="AA927" s="365"/>
      <c r="AC927" s="368"/>
      <c r="AE927" s="365"/>
      <c r="AF927" s="366"/>
      <c r="AH927" s="365"/>
      <c r="AI927" s="365"/>
      <c r="AJ927" s="365"/>
      <c r="AK927" s="119"/>
      <c r="AM927" s="365"/>
      <c r="AN927" s="365"/>
      <c r="AP927" s="368"/>
      <c r="AR927" s="365"/>
      <c r="AS927" s="366"/>
      <c r="AU927" s="365"/>
      <c r="AV927" s="365"/>
      <c r="AW927" s="365"/>
      <c r="AX927" s="365"/>
      <c r="AZ927" s="365"/>
      <c r="BA927" s="365"/>
      <c r="BC927" s="368"/>
      <c r="BE927" s="365"/>
      <c r="BK927" s="365"/>
      <c r="BM927" s="431" t="s">
        <v>1164</v>
      </c>
      <c r="BN927" s="432">
        <f>BM926-BN926</f>
        <v>-54133</v>
      </c>
      <c r="BP927" s="401"/>
      <c r="BQ927" s="649" t="s">
        <v>1232</v>
      </c>
      <c r="BR927" s="830"/>
      <c r="BU927" s="16"/>
      <c r="BV927" s="16"/>
      <c r="BW927" s="16"/>
      <c r="BX927" s="122"/>
      <c r="BY927" s="3"/>
      <c r="BZ927" s="16"/>
      <c r="CA927" s="16"/>
      <c r="CB927" s="573"/>
      <c r="CC927" s="785"/>
      <c r="CD927" s="573"/>
      <c r="CE927" s="432"/>
      <c r="CH927" s="138">
        <f>SUM(CH4:CH926)</f>
        <v>207121</v>
      </c>
      <c r="CI927" s="138"/>
      <c r="CJ927" s="886"/>
      <c r="CO927" s="16"/>
    </row>
    <row r="928" spans="1:93" ht="14.1" customHeight="1" x14ac:dyDescent="0.3">
      <c r="X928" s="16"/>
      <c r="AK928" s="119"/>
      <c r="AS928" s="366"/>
      <c r="BW928" s="16"/>
      <c r="BX928" s="122"/>
      <c r="BY928" s="3"/>
      <c r="BZ928" s="16"/>
      <c r="CA928" s="16"/>
      <c r="CB928" s="3"/>
      <c r="CC928" s="787"/>
      <c r="CD928" s="3"/>
      <c r="CE928" s="16"/>
      <c r="CF928" s="16"/>
      <c r="CH928" s="823">
        <v>207121</v>
      </c>
      <c r="CI928" s="138"/>
      <c r="CJ928" s="905"/>
      <c r="CO928" s="16"/>
    </row>
    <row r="929" spans="16:93" ht="14.1" customHeight="1" x14ac:dyDescent="0.3">
      <c r="P929" s="563"/>
      <c r="Q929" s="690"/>
      <c r="R929" s="691"/>
      <c r="S929" s="554" t="s">
        <v>1243</v>
      </c>
      <c r="X929" s="125"/>
      <c r="AC929" s="657"/>
      <c r="AD929" s="658"/>
      <c r="AE929" s="659"/>
      <c r="AF929" s="697"/>
      <c r="AG929" s="11"/>
      <c r="AH929" s="235"/>
      <c r="AI929" s="235"/>
      <c r="AJ929" s="235"/>
      <c r="AK929" s="119"/>
      <c r="AL929" s="11"/>
      <c r="AM929" s="235"/>
      <c r="AN929" s="235"/>
      <c r="AO929" s="11"/>
      <c r="AP929" s="664"/>
      <c r="AQ929" s="665"/>
      <c r="AR929" s="666"/>
      <c r="AS929" s="699"/>
      <c r="AU929" s="613" t="s">
        <v>1237</v>
      </c>
      <c r="AV929" s="614"/>
      <c r="AW929" s="615"/>
      <c r="AX929" s="616"/>
      <c r="AY929" s="617"/>
      <c r="AZ929" s="618"/>
      <c r="BA929" s="618"/>
      <c r="BB929" s="617"/>
      <c r="BC929" s="671"/>
      <c r="BD929" s="672"/>
      <c r="BE929" s="673"/>
      <c r="BF929" s="673" t="s">
        <v>1242</v>
      </c>
      <c r="BH929" s="625" t="s">
        <v>1237</v>
      </c>
      <c r="BI929" s="626"/>
      <c r="BJ929" s="627"/>
      <c r="BK929" s="628"/>
      <c r="BL929" s="629"/>
      <c r="BM929" s="630"/>
      <c r="BN929" s="630"/>
      <c r="BO929" s="629"/>
      <c r="BP929" s="678"/>
      <c r="BQ929" s="679"/>
      <c r="BR929" s="680"/>
      <c r="BS929" s="630"/>
      <c r="BU929" s="637" t="s">
        <v>1237</v>
      </c>
      <c r="BV929" s="638"/>
      <c r="BW929" s="639"/>
      <c r="BX929" s="640"/>
      <c r="BY929" s="641"/>
      <c r="BZ929" s="642"/>
      <c r="CA929" s="642"/>
      <c r="CB929" s="641"/>
      <c r="CC929" s="788"/>
      <c r="CD929" s="685"/>
      <c r="CE929" s="686"/>
      <c r="CF929" s="642"/>
      <c r="CH929" s="821">
        <f>CH927-CH928</f>
        <v>0</v>
      </c>
      <c r="CI929" s="821"/>
      <c r="CJ929" s="905"/>
      <c r="CO929" s="16"/>
    </row>
    <row r="930" spans="16:93" ht="14.1" customHeight="1" x14ac:dyDescent="0.3">
      <c r="P930" s="563"/>
      <c r="Q930" s="690"/>
      <c r="R930" s="691"/>
      <c r="S930" s="16" t="s">
        <v>1236</v>
      </c>
      <c r="X930" s="125"/>
      <c r="AC930" s="657"/>
      <c r="AD930" s="658"/>
      <c r="AE930" s="659"/>
      <c r="AF930" s="16" t="s">
        <v>1236</v>
      </c>
      <c r="AG930" s="11"/>
      <c r="AH930" s="235"/>
      <c r="AI930" s="235"/>
      <c r="AJ930" s="235"/>
      <c r="AK930" s="119"/>
      <c r="AL930" s="11"/>
      <c r="AM930" s="235"/>
      <c r="AN930" s="235"/>
      <c r="AO930" s="11"/>
      <c r="AP930" s="664"/>
      <c r="AQ930" s="665"/>
      <c r="AR930" s="666"/>
      <c r="AS930" s="16" t="s">
        <v>1236</v>
      </c>
      <c r="AU930" s="652" t="s">
        <v>1238</v>
      </c>
      <c r="AV930" s="614"/>
      <c r="AW930" s="615"/>
      <c r="AX930" s="616"/>
      <c r="AY930" s="617"/>
      <c r="AZ930" s="653"/>
      <c r="BA930" s="618"/>
      <c r="BB930" s="617"/>
      <c r="BC930" s="671"/>
      <c r="BD930" s="672"/>
      <c r="BE930" s="673"/>
      <c r="BF930" s="16" t="s">
        <v>1236</v>
      </c>
      <c r="BH930" s="651" t="s">
        <v>1238</v>
      </c>
      <c r="BI930" s="626"/>
      <c r="BJ930" s="627"/>
      <c r="BK930" s="628"/>
      <c r="BL930" s="629"/>
      <c r="BM930" s="630"/>
      <c r="BN930" s="630"/>
      <c r="BO930" s="629"/>
      <c r="BP930" s="678"/>
      <c r="BQ930" s="679"/>
      <c r="BR930" s="680"/>
      <c r="BS930" s="16" t="s">
        <v>1236</v>
      </c>
      <c r="BU930" s="650" t="s">
        <v>1238</v>
      </c>
      <c r="BV930" s="638"/>
      <c r="BW930" s="639"/>
      <c r="BX930" s="640"/>
      <c r="BY930" s="641"/>
      <c r="BZ930" s="642"/>
      <c r="CA930" s="642"/>
      <c r="CB930" s="641"/>
      <c r="CC930" s="788"/>
      <c r="CD930" s="685"/>
      <c r="CE930" s="686"/>
      <c r="CF930" s="16" t="s">
        <v>1236</v>
      </c>
      <c r="CO930" s="16"/>
    </row>
    <row r="931" spans="16:93" ht="14.1" customHeight="1" x14ac:dyDescent="0.3">
      <c r="P931" s="692"/>
      <c r="Q931" s="690" t="s">
        <v>1141</v>
      </c>
      <c r="R931" s="691">
        <f>R926</f>
        <v>26756106</v>
      </c>
      <c r="S931" s="611">
        <f>S926</f>
        <v>26028492.779999997</v>
      </c>
      <c r="X931" s="125"/>
      <c r="AC931" s="660"/>
      <c r="AD931" s="658" t="s">
        <v>1141</v>
      </c>
      <c r="AE931" s="659">
        <f>AE926</f>
        <v>27674471</v>
      </c>
      <c r="AF931" s="611">
        <f>AF926</f>
        <v>27426142.809999999</v>
      </c>
      <c r="AH931" s="3"/>
      <c r="AJ931" s="3"/>
      <c r="AK931" s="125"/>
      <c r="AM931" s="3"/>
      <c r="AN931" s="3"/>
      <c r="AP931" s="667"/>
      <c r="AQ931" s="665" t="s">
        <v>1141</v>
      </c>
      <c r="AR931" s="666">
        <f>AR926</f>
        <v>29492308</v>
      </c>
      <c r="AS931" s="611">
        <f>AS926</f>
        <v>28393103.240000002</v>
      </c>
      <c r="AU931" s="615">
        <f>AU926</f>
        <v>29492308</v>
      </c>
      <c r="AV931" s="619" t="s">
        <v>1141</v>
      </c>
      <c r="AW931" s="615">
        <f>AW926</f>
        <v>30263647</v>
      </c>
      <c r="AX931" s="616"/>
      <c r="AY931" s="617"/>
      <c r="AZ931" s="654" t="s">
        <v>1141</v>
      </c>
      <c r="BA931" s="618">
        <f>BA926</f>
        <v>29858677.189999998</v>
      </c>
      <c r="BB931" s="617"/>
      <c r="BC931" s="671"/>
      <c r="BD931" s="672" t="s">
        <v>1141</v>
      </c>
      <c r="BE931" s="673">
        <f>BE926</f>
        <v>30132365</v>
      </c>
      <c r="BF931" s="611">
        <f>BF926</f>
        <v>29019443.610000003</v>
      </c>
      <c r="BH931" s="627">
        <f>BH926</f>
        <v>30132365</v>
      </c>
      <c r="BI931" s="631" t="s">
        <v>1141</v>
      </c>
      <c r="BJ931" s="627">
        <f>BJ926</f>
        <v>30745778</v>
      </c>
      <c r="BK931" s="628"/>
      <c r="BL931" s="629"/>
      <c r="BM931" s="655" t="s">
        <v>1141</v>
      </c>
      <c r="BN931" s="630">
        <f>BN926</f>
        <v>31127724</v>
      </c>
      <c r="BO931" s="629"/>
      <c r="BP931" s="681"/>
      <c r="BQ931" s="682" t="s">
        <v>1141</v>
      </c>
      <c r="BR931" s="680">
        <f>BR926</f>
        <v>31125124</v>
      </c>
      <c r="BS931" s="805">
        <f>BS926</f>
        <v>14301721.25</v>
      </c>
      <c r="BU931" s="639">
        <f>BU926</f>
        <v>31125124</v>
      </c>
      <c r="BV931" s="643" t="s">
        <v>1141</v>
      </c>
      <c r="BW931" s="639">
        <f>BW926</f>
        <v>31782984</v>
      </c>
      <c r="BX931" s="640"/>
      <c r="BY931" s="641"/>
      <c r="BZ931" s="656" t="s">
        <v>1141</v>
      </c>
      <c r="CA931" s="642">
        <f>CA926</f>
        <v>31934835</v>
      </c>
      <c r="CB931" s="641"/>
      <c r="CC931" s="788"/>
      <c r="CD931" s="687" t="s">
        <v>1141</v>
      </c>
      <c r="CE931" s="686">
        <f>CE926</f>
        <v>31934835</v>
      </c>
      <c r="CF931" s="611">
        <f>CF926</f>
        <v>0</v>
      </c>
      <c r="CH931" s="821"/>
      <c r="CI931" s="821"/>
      <c r="CO931" s="16"/>
    </row>
    <row r="932" spans="16:93" ht="14.1" customHeight="1" x14ac:dyDescent="0.3">
      <c r="P932" s="692"/>
      <c r="Q932" s="690" t="s">
        <v>1233</v>
      </c>
      <c r="R932" s="691">
        <f>-R497</f>
        <v>-7827171</v>
      </c>
      <c r="S932" s="117">
        <v>25000</v>
      </c>
      <c r="X932" s="125"/>
      <c r="AC932" s="660"/>
      <c r="AD932" s="658" t="s">
        <v>1233</v>
      </c>
      <c r="AE932" s="659">
        <f>-AE497</f>
        <v>-8108071</v>
      </c>
      <c r="AF932" s="117">
        <v>25000</v>
      </c>
      <c r="AK932" s="125"/>
      <c r="AM932" s="299"/>
      <c r="AP932" s="667"/>
      <c r="AQ932" s="665" t="s">
        <v>1233</v>
      </c>
      <c r="AR932" s="666">
        <f>-AR497</f>
        <v>-8913230</v>
      </c>
      <c r="AS932" s="117">
        <v>25000</v>
      </c>
      <c r="AU932" s="618">
        <f>-AU508</f>
        <v>-16909613</v>
      </c>
      <c r="AV932" s="619" t="s">
        <v>1143</v>
      </c>
      <c r="AW932" s="618">
        <f>-AW508</f>
        <v>-17416903</v>
      </c>
      <c r="AX932" s="616"/>
      <c r="AY932" s="617"/>
      <c r="AZ932" s="654" t="s">
        <v>1240</v>
      </c>
      <c r="BA932" s="618">
        <f>-BA508</f>
        <v>-17113064.309999999</v>
      </c>
      <c r="BB932" s="617"/>
      <c r="BC932" s="671"/>
      <c r="BD932" s="672" t="s">
        <v>1233</v>
      </c>
      <c r="BE932" s="673">
        <f>-BE497</f>
        <v>-9117902</v>
      </c>
      <c r="BF932" s="117">
        <v>225000</v>
      </c>
      <c r="BH932" s="630">
        <f>-BH508</f>
        <v>-17308242</v>
      </c>
      <c r="BI932" s="631" t="s">
        <v>1143</v>
      </c>
      <c r="BJ932" s="630">
        <f>-BJ508</f>
        <v>-17802289</v>
      </c>
      <c r="BK932" s="628"/>
      <c r="BL932" s="629"/>
      <c r="BM932" s="655" t="s">
        <v>1240</v>
      </c>
      <c r="BN932" s="630">
        <f>-BN497</f>
        <v>-9368644</v>
      </c>
      <c r="BO932" s="629"/>
      <c r="BP932" s="681"/>
      <c r="BQ932" s="682" t="s">
        <v>1233</v>
      </c>
      <c r="BR932" s="680">
        <f>-BR497</f>
        <v>-9368644</v>
      </c>
      <c r="BS932" s="259"/>
      <c r="BU932" s="642">
        <f>-BU508</f>
        <v>-18264847</v>
      </c>
      <c r="BV932" s="643" t="s">
        <v>1143</v>
      </c>
      <c r="BW932" s="642">
        <f>-BW508</f>
        <v>-18928838</v>
      </c>
      <c r="BX932" s="640"/>
      <c r="BY932" s="641"/>
      <c r="BZ932" s="656" t="s">
        <v>1240</v>
      </c>
      <c r="CA932" s="642">
        <f>-CA497</f>
        <v>-9735523</v>
      </c>
      <c r="CB932" s="641"/>
      <c r="CC932" s="788"/>
      <c r="CD932" s="687" t="s">
        <v>1233</v>
      </c>
      <c r="CE932" s="686">
        <f>-CE497</f>
        <v>-9735523</v>
      </c>
      <c r="CF932" s="529"/>
      <c r="CO932" s="16"/>
    </row>
    <row r="933" spans="16:93" ht="14.1" customHeight="1" x14ac:dyDescent="0.3">
      <c r="P933" s="692"/>
      <c r="Q933" s="690"/>
      <c r="R933" s="693">
        <f>SUM(R931:R932)</f>
        <v>18928935</v>
      </c>
      <c r="S933" s="117">
        <v>100000</v>
      </c>
      <c r="X933" s="125"/>
      <c r="AC933" s="660"/>
      <c r="AD933" s="658"/>
      <c r="AE933" s="661">
        <f>SUM(AE931:AE932)</f>
        <v>19566400</v>
      </c>
      <c r="AF933" s="117">
        <v>100000</v>
      </c>
      <c r="AK933" s="125"/>
      <c r="AM933" s="299"/>
      <c r="AP933" s="667"/>
      <c r="AQ933" s="665"/>
      <c r="AR933" s="668">
        <f>SUM(AR931:AR932)</f>
        <v>20579078</v>
      </c>
      <c r="AS933" s="117">
        <v>100000</v>
      </c>
      <c r="AU933" s="620">
        <f>SUM(AU931:AU932)</f>
        <v>12582695</v>
      </c>
      <c r="AV933" s="619" t="s">
        <v>1150</v>
      </c>
      <c r="AW933" s="620">
        <f>SUM(AW931:AW932)</f>
        <v>12846744</v>
      </c>
      <c r="AX933" s="616"/>
      <c r="AY933" s="617"/>
      <c r="AZ933" s="654" t="s">
        <v>1241</v>
      </c>
      <c r="BA933" s="620">
        <f>SUM(BA931:BA932)</f>
        <v>12745612.879999999</v>
      </c>
      <c r="BB933" s="617"/>
      <c r="BC933" s="671"/>
      <c r="BD933" s="672"/>
      <c r="BE933" s="674">
        <f>SUM(BE931:BE932)</f>
        <v>21014463</v>
      </c>
      <c r="BF933" s="117">
        <v>100000</v>
      </c>
      <c r="BH933" s="632">
        <f>SUM(BH931:BH932)</f>
        <v>12824123</v>
      </c>
      <c r="BI933" s="631" t="s">
        <v>1150</v>
      </c>
      <c r="BJ933" s="632">
        <f>SUM(BJ931:BJ932)</f>
        <v>12943489</v>
      </c>
      <c r="BK933" s="628"/>
      <c r="BL933" s="629"/>
      <c r="BM933" s="655" t="s">
        <v>1241</v>
      </c>
      <c r="BN933" s="632">
        <f>SUM(BN931:BN932)</f>
        <v>21759080</v>
      </c>
      <c r="BO933" s="629"/>
      <c r="BP933" s="681"/>
      <c r="BQ933" s="682"/>
      <c r="BR933" s="680">
        <f>SUM(BR931:BR932)</f>
        <v>21756480</v>
      </c>
      <c r="BS933" s="259"/>
      <c r="BU933" s="644">
        <f>SUM(BU931:BU932)</f>
        <v>12860277</v>
      </c>
      <c r="BV933" s="643" t="s">
        <v>1150</v>
      </c>
      <c r="BW933" s="644">
        <f>SUM(BW931:BW932)</f>
        <v>12854146</v>
      </c>
      <c r="BX933" s="640"/>
      <c r="BY933" s="641"/>
      <c r="BZ933" s="656" t="s">
        <v>1241</v>
      </c>
      <c r="CA933" s="644">
        <f>SUM(CA931:CA932)</f>
        <v>22199312</v>
      </c>
      <c r="CB933" s="641"/>
      <c r="CC933" s="788"/>
      <c r="CD933" s="687"/>
      <c r="CE933" s="686">
        <f>SUM(CE931:CE932)</f>
        <v>22199312</v>
      </c>
      <c r="CF933" s="529"/>
      <c r="CH933" s="822"/>
      <c r="CI933" s="822"/>
      <c r="CO933" s="16"/>
    </row>
    <row r="934" spans="16:93" ht="14.1" customHeight="1" x14ac:dyDescent="0.3">
      <c r="P934" s="692"/>
      <c r="Q934" s="690"/>
      <c r="R934" s="691"/>
      <c r="S934" s="117">
        <v>100000</v>
      </c>
      <c r="X934" s="125"/>
      <c r="AC934" s="660"/>
      <c r="AD934" s="658"/>
      <c r="AE934" s="659"/>
      <c r="AF934" s="117">
        <v>300000</v>
      </c>
      <c r="AK934" s="125"/>
      <c r="AM934" s="299"/>
      <c r="AP934" s="667"/>
      <c r="AQ934" s="665"/>
      <c r="AR934" s="666"/>
      <c r="AS934" s="117">
        <v>300000</v>
      </c>
      <c r="AU934" s="618"/>
      <c r="AV934" s="619" t="s">
        <v>1149</v>
      </c>
      <c r="AW934" s="615"/>
      <c r="AX934" s="616"/>
      <c r="AY934" s="617"/>
      <c r="AZ934" s="654"/>
      <c r="BA934" s="618"/>
      <c r="BB934" s="617"/>
      <c r="BC934" s="671"/>
      <c r="BD934" s="672"/>
      <c r="BE934" s="673"/>
      <c r="BF934" s="117">
        <v>320000</v>
      </c>
      <c r="BH934" s="630"/>
      <c r="BI934" s="631" t="s">
        <v>1149</v>
      </c>
      <c r="BJ934" s="627"/>
      <c r="BK934" s="628"/>
      <c r="BL934" s="629"/>
      <c r="BM934" s="655"/>
      <c r="BN934" s="630"/>
      <c r="BO934" s="629"/>
      <c r="BP934" s="681"/>
      <c r="BQ934" s="682"/>
      <c r="BR934" s="680"/>
      <c r="BS934" s="259"/>
      <c r="BU934" s="642"/>
      <c r="BV934" s="643" t="s">
        <v>1149</v>
      </c>
      <c r="BW934" s="639"/>
      <c r="BX934" s="640"/>
      <c r="BY934" s="641"/>
      <c r="BZ934" s="656"/>
      <c r="CA934" s="642"/>
      <c r="CB934" s="641"/>
      <c r="CC934" s="788"/>
      <c r="CD934" s="687"/>
      <c r="CE934" s="686"/>
      <c r="CF934" s="529"/>
      <c r="CO934" s="16"/>
    </row>
    <row r="935" spans="16:93" ht="14.1" customHeight="1" x14ac:dyDescent="0.3">
      <c r="P935" s="692"/>
      <c r="Q935" s="690" t="s">
        <v>1141</v>
      </c>
      <c r="R935" s="691">
        <f>R926</f>
        <v>26756106</v>
      </c>
      <c r="S935" s="612">
        <f>SUM(S931:S934)</f>
        <v>26253492.779999997</v>
      </c>
      <c r="X935" s="125"/>
      <c r="AC935" s="660"/>
      <c r="AD935" s="658" t="s">
        <v>1141</v>
      </c>
      <c r="AE935" s="659">
        <f>AE926</f>
        <v>27674471</v>
      </c>
      <c r="AF935" s="612">
        <f>SUM(AF931:AF934)</f>
        <v>27851142.809999999</v>
      </c>
      <c r="AK935" s="125"/>
      <c r="AM935" s="299"/>
      <c r="AP935" s="667"/>
      <c r="AQ935" s="665" t="s">
        <v>1141</v>
      </c>
      <c r="AR935" s="666">
        <f>AR926</f>
        <v>29492308</v>
      </c>
      <c r="AS935" s="612">
        <f>SUM(AS931:AS934)</f>
        <v>28818103.240000002</v>
      </c>
      <c r="AU935" s="618"/>
      <c r="AV935" s="619" t="s">
        <v>1283</v>
      </c>
      <c r="AW935" s="621">
        <f>SUM(AW933:AW934)</f>
        <v>12846744</v>
      </c>
      <c r="AX935" s="616"/>
      <c r="AY935" s="617"/>
      <c r="AZ935" s="654" t="s">
        <v>1141</v>
      </c>
      <c r="BA935" s="618">
        <f>BA926</f>
        <v>29858677.189999998</v>
      </c>
      <c r="BB935" s="617"/>
      <c r="BC935" s="671"/>
      <c r="BD935" s="672" t="s">
        <v>1141</v>
      </c>
      <c r="BE935" s="673">
        <f>BE926</f>
        <v>30132365</v>
      </c>
      <c r="BF935" s="612">
        <f>SUM(BF931:BF934)</f>
        <v>29664443.610000003</v>
      </c>
      <c r="BH935" s="630"/>
      <c r="BI935" s="631" t="s">
        <v>1283</v>
      </c>
      <c r="BJ935" s="633">
        <f>SUM(BJ933:BJ934)</f>
        <v>12943489</v>
      </c>
      <c r="BK935" s="628"/>
      <c r="BL935" s="629"/>
      <c r="BM935" s="655" t="s">
        <v>1141</v>
      </c>
      <c r="BN935" s="630">
        <f>BN926</f>
        <v>31127724</v>
      </c>
      <c r="BO935" s="629"/>
      <c r="BP935" s="681"/>
      <c r="BQ935" s="682" t="s">
        <v>1141</v>
      </c>
      <c r="BR935" s="680">
        <f>BR926</f>
        <v>31125124</v>
      </c>
      <c r="BS935" s="806">
        <f>SUM(BS931:BS934)</f>
        <v>14301721.25</v>
      </c>
      <c r="BU935" s="642"/>
      <c r="BV935" s="643" t="s">
        <v>1283</v>
      </c>
      <c r="BW935" s="645">
        <f>SUM(BW933:BW934)</f>
        <v>12854146</v>
      </c>
      <c r="BX935" s="640"/>
      <c r="BY935" s="641"/>
      <c r="BZ935" s="656" t="s">
        <v>1141</v>
      </c>
      <c r="CA935" s="642">
        <f>CA926</f>
        <v>31934835</v>
      </c>
      <c r="CB935" s="641"/>
      <c r="CC935" s="788"/>
      <c r="CD935" s="687" t="s">
        <v>1141</v>
      </c>
      <c r="CE935" s="686">
        <f>CE926</f>
        <v>31934835</v>
      </c>
      <c r="CF935" s="612">
        <f>SUM(CF931:CF934)</f>
        <v>0</v>
      </c>
      <c r="CO935" s="16"/>
    </row>
    <row r="936" spans="16:93" ht="14.1" customHeight="1" x14ac:dyDescent="0.3">
      <c r="P936" s="692"/>
      <c r="Q936" s="690" t="s">
        <v>1234</v>
      </c>
      <c r="R936" s="691">
        <f>-R501</f>
        <v>-7199513</v>
      </c>
      <c r="S936" s="529"/>
      <c r="X936" s="125"/>
      <c r="AC936" s="660"/>
      <c r="AD936" s="658" t="s">
        <v>1234</v>
      </c>
      <c r="AE936" s="659">
        <f>-AE501</f>
        <v>-7579413</v>
      </c>
      <c r="AF936" s="529"/>
      <c r="AG936" s="1"/>
      <c r="AK936" s="125"/>
      <c r="AM936" s="299"/>
      <c r="AP936" s="667"/>
      <c r="AQ936" s="665" t="s">
        <v>1234</v>
      </c>
      <c r="AR936" s="666">
        <f>-AR501</f>
        <v>-7693568</v>
      </c>
      <c r="AS936" s="529"/>
      <c r="AU936" s="618"/>
      <c r="AV936" s="619"/>
      <c r="AW936" s="618"/>
      <c r="AX936" s="616"/>
      <c r="AY936" s="617"/>
      <c r="AZ936" s="654" t="s">
        <v>1234</v>
      </c>
      <c r="BA936" s="618">
        <f>-BA501</f>
        <v>-7693567.3099999996</v>
      </c>
      <c r="BB936" s="617"/>
      <c r="BC936" s="671"/>
      <c r="BD936" s="672" t="s">
        <v>1234</v>
      </c>
      <c r="BE936" s="673">
        <f>-BE501</f>
        <v>-7825842</v>
      </c>
      <c r="BF936" s="529"/>
      <c r="BH936" s="630"/>
      <c r="BI936" s="631"/>
      <c r="BJ936" s="630"/>
      <c r="BK936" s="628"/>
      <c r="BL936" s="629"/>
      <c r="BM936" s="655" t="s">
        <v>1234</v>
      </c>
      <c r="BN936" s="630">
        <f>-BN501</f>
        <v>-8476833</v>
      </c>
      <c r="BO936" s="629"/>
      <c r="BP936" s="681"/>
      <c r="BQ936" s="682" t="s">
        <v>1234</v>
      </c>
      <c r="BR936" s="680">
        <f>-BR501</f>
        <v>-8476833</v>
      </c>
      <c r="BS936" s="807"/>
      <c r="BU936" s="642"/>
      <c r="BV936" s="643"/>
      <c r="BW936" s="642"/>
      <c r="BX936" s="640"/>
      <c r="BY936" s="641"/>
      <c r="BZ936" s="656" t="s">
        <v>1234</v>
      </c>
      <c r="CA936" s="642">
        <f>-CA501</f>
        <v>-8776844</v>
      </c>
      <c r="CB936" s="641"/>
      <c r="CC936" s="788"/>
      <c r="CD936" s="687" t="s">
        <v>1234</v>
      </c>
      <c r="CE936" s="686">
        <f>-CE501</f>
        <v>-8776844</v>
      </c>
      <c r="CF936" s="529"/>
      <c r="CO936" s="16"/>
    </row>
    <row r="937" spans="16:93" ht="14.1" customHeight="1" x14ac:dyDescent="0.3">
      <c r="P937" s="692"/>
      <c r="Q937" s="690" t="s">
        <v>1235</v>
      </c>
      <c r="R937" s="691">
        <f>-R504</f>
        <v>-230942</v>
      </c>
      <c r="S937" s="244">
        <v>26253492.780000001</v>
      </c>
      <c r="X937" s="125"/>
      <c r="AC937" s="660"/>
      <c r="AD937" s="658" t="s">
        <v>1235</v>
      </c>
      <c r="AE937" s="659">
        <f>-AE504</f>
        <v>-260101</v>
      </c>
      <c r="AF937" s="244">
        <v>27851142.809999999</v>
      </c>
      <c r="AG937" s="1"/>
      <c r="AK937" s="125"/>
      <c r="AM937" s="299"/>
      <c r="AP937" s="667"/>
      <c r="AQ937" s="665" t="s">
        <v>1235</v>
      </c>
      <c r="AR937" s="666">
        <f>-AR504</f>
        <v>-302815</v>
      </c>
      <c r="AS937" s="244">
        <v>28818103.239999998</v>
      </c>
      <c r="AU937" s="618"/>
      <c r="AV937" s="619"/>
      <c r="AW937" s="618"/>
      <c r="AX937" s="616"/>
      <c r="AY937" s="617"/>
      <c r="AZ937" s="654" t="s">
        <v>1235</v>
      </c>
      <c r="BA937" s="618">
        <f>-BA504</f>
        <v>-301595</v>
      </c>
      <c r="BB937" s="617"/>
      <c r="BC937" s="671"/>
      <c r="BD937" s="672" t="s">
        <v>1235</v>
      </c>
      <c r="BE937" s="673">
        <f>-BE504</f>
        <v>-364498</v>
      </c>
      <c r="BF937" s="244">
        <v>29664443.609999999</v>
      </c>
      <c r="BH937" s="630"/>
      <c r="BI937" s="631"/>
      <c r="BJ937" s="630"/>
      <c r="BK937" s="628"/>
      <c r="BL937" s="629"/>
      <c r="BM937" s="655" t="s">
        <v>1235</v>
      </c>
      <c r="BN937" s="630">
        <f>-BN504</f>
        <v>-419370</v>
      </c>
      <c r="BO937" s="629"/>
      <c r="BP937" s="681"/>
      <c r="BQ937" s="682" t="s">
        <v>1235</v>
      </c>
      <c r="BR937" s="680">
        <f>-BR504</f>
        <v>-419370</v>
      </c>
      <c r="BS937" s="610"/>
      <c r="BU937" s="642"/>
      <c r="BV937" s="643"/>
      <c r="BW937" s="642"/>
      <c r="BX937" s="640"/>
      <c r="BY937" s="641"/>
      <c r="BZ937" s="656" t="s">
        <v>1235</v>
      </c>
      <c r="CA937" s="642">
        <f>-CA504</f>
        <v>-442571</v>
      </c>
      <c r="CB937" s="641"/>
      <c r="CC937" s="788"/>
      <c r="CD937" s="687" t="s">
        <v>1235</v>
      </c>
      <c r="CE937" s="686">
        <f>-CE504</f>
        <v>-442571</v>
      </c>
      <c r="CF937" s="244"/>
      <c r="CO937" s="16"/>
    </row>
    <row r="938" spans="16:93" ht="14.1" customHeight="1" x14ac:dyDescent="0.3">
      <c r="P938" s="692"/>
      <c r="Q938" s="690"/>
      <c r="R938" s="691"/>
      <c r="S938" s="529">
        <f>S937-S935</f>
        <v>0</v>
      </c>
      <c r="X938" s="125"/>
      <c r="AC938" s="660"/>
      <c r="AD938" s="658"/>
      <c r="AE938" s="659"/>
      <c r="AF938" s="529">
        <f>AF937-AF935</f>
        <v>0</v>
      </c>
      <c r="AG938" s="1"/>
      <c r="AK938" s="125"/>
      <c r="AM938" s="299"/>
      <c r="AP938" s="667"/>
      <c r="AQ938" s="665"/>
      <c r="AR938" s="666"/>
      <c r="AS938" s="529">
        <f>AS937-AS935</f>
        <v>0</v>
      </c>
      <c r="AU938" s="618"/>
      <c r="AV938" s="622"/>
      <c r="AW938" s="623"/>
      <c r="AX938" s="616"/>
      <c r="AY938" s="617"/>
      <c r="AZ938" s="654"/>
      <c r="BA938" s="618"/>
      <c r="BB938" s="617"/>
      <c r="BC938" s="671"/>
      <c r="BD938" s="672"/>
      <c r="BE938" s="673"/>
      <c r="BF938" s="529">
        <f>BF937-BF935</f>
        <v>0</v>
      </c>
      <c r="BH938" s="630"/>
      <c r="BI938" s="634"/>
      <c r="BJ938" s="635"/>
      <c r="BK938" s="628"/>
      <c r="BL938" s="629"/>
      <c r="BM938" s="655"/>
      <c r="BN938" s="630"/>
      <c r="BO938" s="629"/>
      <c r="BP938" s="681"/>
      <c r="BQ938" s="682"/>
      <c r="BR938" s="680"/>
      <c r="BS938" s="807">
        <f>BS937-BS935</f>
        <v>-14301721.25</v>
      </c>
      <c r="BU938" s="642"/>
      <c r="BV938" s="646"/>
      <c r="BW938" s="647"/>
      <c r="BX938" s="640"/>
      <c r="BY938" s="641"/>
      <c r="BZ938" s="656"/>
      <c r="CA938" s="642"/>
      <c r="CB938" s="641"/>
      <c r="CC938" s="788"/>
      <c r="CD938" s="687"/>
      <c r="CE938" s="686"/>
      <c r="CF938" s="529">
        <f>CF937-CF935</f>
        <v>0</v>
      </c>
      <c r="CO938" s="16"/>
    </row>
    <row r="939" spans="16:93" ht="14.1" customHeight="1" x14ac:dyDescent="0.3">
      <c r="P939" s="692"/>
      <c r="Q939" s="690" t="s">
        <v>1239</v>
      </c>
      <c r="R939" s="693">
        <f>SUM(R935:R938)</f>
        <v>19325651</v>
      </c>
      <c r="S939" s="696"/>
      <c r="X939" s="125"/>
      <c r="AC939" s="660"/>
      <c r="AD939" s="658" t="s">
        <v>1239</v>
      </c>
      <c r="AE939" s="661">
        <f>SUM(AE935:AE938)</f>
        <v>19834957</v>
      </c>
      <c r="AF939" s="698"/>
      <c r="AG939" s="1"/>
      <c r="AK939" s="125"/>
      <c r="AM939" s="299"/>
      <c r="AP939" s="667"/>
      <c r="AQ939" s="665" t="s">
        <v>1239</v>
      </c>
      <c r="AR939" s="668">
        <f>SUM(AR935:AR938)</f>
        <v>21495925</v>
      </c>
      <c r="AS939" s="700"/>
      <c r="AU939" s="618"/>
      <c r="AV939" s="618"/>
      <c r="AW939" s="618"/>
      <c r="AX939" s="616"/>
      <c r="AY939" s="617"/>
      <c r="AZ939" s="654" t="s">
        <v>776</v>
      </c>
      <c r="BA939" s="620">
        <f>SUM(BA935:BA938)</f>
        <v>21863514.879999999</v>
      </c>
      <c r="BB939" s="617"/>
      <c r="BC939" s="671"/>
      <c r="BD939" s="672" t="s">
        <v>1239</v>
      </c>
      <c r="BE939" s="674">
        <f>SUM(BE935:BE938)</f>
        <v>21942025</v>
      </c>
      <c r="BF939" s="618"/>
      <c r="BH939" s="630"/>
      <c r="BI939" s="630"/>
      <c r="BJ939" s="630"/>
      <c r="BK939" s="628"/>
      <c r="BL939" s="629"/>
      <c r="BM939" s="655" t="s">
        <v>776</v>
      </c>
      <c r="BN939" s="632">
        <f>SUM(BN935:BN938)</f>
        <v>22231521</v>
      </c>
      <c r="BO939" s="629"/>
      <c r="BP939" s="681"/>
      <c r="BQ939" s="682" t="s">
        <v>1239</v>
      </c>
      <c r="BR939" s="683">
        <f>SUM(BR935:BR938)</f>
        <v>22228921</v>
      </c>
      <c r="BS939" s="808"/>
      <c r="BU939" s="642"/>
      <c r="BV939" s="642"/>
      <c r="BW939" s="642"/>
      <c r="BX939" s="640"/>
      <c r="BY939" s="641"/>
      <c r="BZ939" s="656" t="s">
        <v>776</v>
      </c>
      <c r="CA939" s="644">
        <f>SUM(CA935:CA938)</f>
        <v>22715420</v>
      </c>
      <c r="CB939" s="641"/>
      <c r="CC939" s="788"/>
      <c r="CD939" s="687" t="s">
        <v>1239</v>
      </c>
      <c r="CE939" s="688">
        <f>SUM(CE935:CE938)</f>
        <v>22715420</v>
      </c>
      <c r="CF939" s="642"/>
      <c r="CO939" s="16"/>
    </row>
    <row r="940" spans="16:93" x14ac:dyDescent="0.3">
      <c r="P940" s="692"/>
      <c r="Q940" s="694"/>
      <c r="R940" s="695"/>
      <c r="S940" s="696"/>
      <c r="X940" s="125"/>
      <c r="AC940" s="660"/>
      <c r="AD940" s="662"/>
      <c r="AE940" s="663"/>
      <c r="AF940" s="698"/>
      <c r="AK940" s="125"/>
      <c r="AM940" s="299"/>
      <c r="AP940" s="667"/>
      <c r="AQ940" s="669"/>
      <c r="AR940" s="670"/>
      <c r="AS940" s="700"/>
      <c r="AU940" s="618"/>
      <c r="AV940" s="618"/>
      <c r="AW940" s="618"/>
      <c r="AX940" s="616"/>
      <c r="AY940" s="617"/>
      <c r="AZ940" s="624"/>
      <c r="BA940" s="618"/>
      <c r="BB940" s="617"/>
      <c r="BC940" s="675"/>
      <c r="BD940" s="676"/>
      <c r="BE940" s="677"/>
      <c r="BF940" s="618"/>
      <c r="BH940" s="630"/>
      <c r="BI940" s="630"/>
      <c r="BJ940" s="630"/>
      <c r="BK940" s="628"/>
      <c r="BL940" s="629"/>
      <c r="BM940" s="630"/>
      <c r="BN940" s="636"/>
      <c r="BO940" s="629"/>
      <c r="BP940" s="678"/>
      <c r="BQ940" s="679"/>
      <c r="BR940" s="684"/>
      <c r="BS940" s="808"/>
      <c r="BU940" s="642"/>
      <c r="BV940" s="642"/>
      <c r="BW940" s="642"/>
      <c r="BX940" s="640"/>
      <c r="BY940" s="641"/>
      <c r="BZ940" s="642"/>
      <c r="CA940" s="648"/>
      <c r="CB940" s="641"/>
      <c r="CC940" s="788"/>
      <c r="CD940" s="685"/>
      <c r="CE940" s="689"/>
      <c r="CF940" s="642"/>
      <c r="CO940" s="16"/>
    </row>
    <row r="941" spans="16:93" x14ac:dyDescent="0.3">
      <c r="X941" s="125"/>
      <c r="AE941" s="135"/>
      <c r="AM941" s="299"/>
      <c r="BS941" s="135"/>
      <c r="CO941" s="16"/>
    </row>
    <row r="942" spans="16:93" x14ac:dyDescent="0.3">
      <c r="AE942" s="135"/>
      <c r="AM942" s="299"/>
      <c r="BS942" s="135"/>
      <c r="CO942" s="16"/>
    </row>
    <row r="943" spans="16:93" x14ac:dyDescent="0.3">
      <c r="AE943" s="135"/>
      <c r="AM943" s="299"/>
      <c r="BS943" s="138">
        <v>3569058.26</v>
      </c>
      <c r="CO943" s="16"/>
    </row>
    <row r="944" spans="16:93" x14ac:dyDescent="0.3">
      <c r="AE944" s="135"/>
      <c r="AM944" s="299"/>
      <c r="BS944" s="135">
        <v>11377662.99</v>
      </c>
      <c r="CO944" s="16"/>
    </row>
    <row r="945" spans="31:93" x14ac:dyDescent="0.3">
      <c r="AE945" s="135"/>
      <c r="AM945" s="299"/>
      <c r="BS945" s="141">
        <f>SUM(BS943:BS944)</f>
        <v>14946721.25</v>
      </c>
      <c r="CO945" s="16"/>
    </row>
    <row r="946" spans="31:93" x14ac:dyDescent="0.3">
      <c r="AE946" s="135"/>
      <c r="AM946" s="299"/>
      <c r="BS946" s="228"/>
      <c r="CO946" s="16"/>
    </row>
    <row r="947" spans="31:93" x14ac:dyDescent="0.3">
      <c r="AE947" s="135"/>
      <c r="AM947" s="299"/>
      <c r="BS947" s="135">
        <f>BS945</f>
        <v>14946721.25</v>
      </c>
      <c r="CO947" s="16"/>
    </row>
    <row r="948" spans="31:93" x14ac:dyDescent="0.3">
      <c r="AE948" s="135"/>
      <c r="AM948" s="299"/>
      <c r="BS948" s="135">
        <f>BS938</f>
        <v>-14301721.25</v>
      </c>
      <c r="CO948" s="16"/>
    </row>
    <row r="949" spans="31:93" x14ac:dyDescent="0.3">
      <c r="AE949" s="135"/>
      <c r="AM949" s="299"/>
      <c r="BS949" s="135">
        <v>-645000</v>
      </c>
      <c r="CO949" s="16"/>
    </row>
    <row r="950" spans="31:93" x14ac:dyDescent="0.3">
      <c r="AE950" s="135"/>
      <c r="AM950" s="299"/>
      <c r="BS950" s="135"/>
      <c r="CO950" s="16"/>
    </row>
    <row r="951" spans="31:93" x14ac:dyDescent="0.3">
      <c r="AE951" s="135"/>
      <c r="AM951" s="299"/>
      <c r="BS951" s="141">
        <f>SUM(BS947:BS950)</f>
        <v>0</v>
      </c>
      <c r="CO951" s="16"/>
    </row>
    <row r="952" spans="31:93" x14ac:dyDescent="0.3">
      <c r="AM952" s="299"/>
      <c r="BS952" s="135"/>
      <c r="CO952" s="16"/>
    </row>
    <row r="953" spans="31:93" x14ac:dyDescent="0.3">
      <c r="AM953" s="299"/>
      <c r="BS953" s="135"/>
      <c r="CO953" s="16"/>
    </row>
    <row r="954" spans="31:93" x14ac:dyDescent="0.3">
      <c r="AM954" s="299"/>
      <c r="CO954" s="16"/>
    </row>
    <row r="955" spans="31:93" x14ac:dyDescent="0.3">
      <c r="AM955" s="299"/>
      <c r="CO955" s="16"/>
    </row>
    <row r="956" spans="31:93" x14ac:dyDescent="0.3">
      <c r="AM956" s="299"/>
      <c r="CO956" s="16"/>
    </row>
    <row r="957" spans="31:93" x14ac:dyDescent="0.3">
      <c r="AM957" s="299"/>
      <c r="CO957" s="16"/>
    </row>
    <row r="958" spans="31:93" x14ac:dyDescent="0.3">
      <c r="CO958" s="16"/>
    </row>
    <row r="959" spans="31:93" x14ac:dyDescent="0.3">
      <c r="CO959" s="16"/>
    </row>
    <row r="960" spans="31:93" x14ac:dyDescent="0.3">
      <c r="CO960" s="16"/>
    </row>
    <row r="961" spans="93:93" x14ac:dyDescent="0.3">
      <c r="CO961" s="16"/>
    </row>
    <row r="962" spans="93:93" x14ac:dyDescent="0.3">
      <c r="CO962" s="16"/>
    </row>
    <row r="963" spans="93:93" x14ac:dyDescent="0.3">
      <c r="CO963" s="16"/>
    </row>
    <row r="964" spans="93:93" x14ac:dyDescent="0.3">
      <c r="CO964" s="16"/>
    </row>
    <row r="965" spans="93:93" x14ac:dyDescent="0.3">
      <c r="CO965" s="16"/>
    </row>
    <row r="966" spans="93:93" x14ac:dyDescent="0.3">
      <c r="CO966" s="16"/>
    </row>
    <row r="967" spans="93:93" x14ac:dyDescent="0.3">
      <c r="CO967" s="16"/>
    </row>
    <row r="968" spans="93:93" x14ac:dyDescent="0.3">
      <c r="CO968" s="16"/>
    </row>
    <row r="969" spans="93:93" x14ac:dyDescent="0.3">
      <c r="CO969" s="16"/>
    </row>
    <row r="970" spans="93:93" x14ac:dyDescent="0.3">
      <c r="CO970" s="16"/>
    </row>
    <row r="971" spans="93:93" x14ac:dyDescent="0.3">
      <c r="CO971" s="16"/>
    </row>
    <row r="972" spans="93:93" x14ac:dyDescent="0.3">
      <c r="CO972" s="16"/>
    </row>
    <row r="973" spans="93:93" x14ac:dyDescent="0.3">
      <c r="CO973" s="16"/>
    </row>
    <row r="974" spans="93:93" x14ac:dyDescent="0.3">
      <c r="CO974" s="16"/>
    </row>
    <row r="975" spans="93:93" x14ac:dyDescent="0.3">
      <c r="CO975" s="16"/>
    </row>
    <row r="976" spans="93:93" x14ac:dyDescent="0.3">
      <c r="CO976" s="16"/>
    </row>
    <row r="977" spans="93:93" x14ac:dyDescent="0.3">
      <c r="CO977" s="16"/>
    </row>
    <row r="978" spans="93:93" x14ac:dyDescent="0.3">
      <c r="CO978" s="16"/>
    </row>
    <row r="979" spans="93:93" x14ac:dyDescent="0.3">
      <c r="CO979" s="16"/>
    </row>
    <row r="980" spans="93:93" x14ac:dyDescent="0.3">
      <c r="CO980" s="16"/>
    </row>
    <row r="981" spans="93:93" x14ac:dyDescent="0.3">
      <c r="CO981" s="16"/>
    </row>
  </sheetData>
  <dataConsolidate/>
  <mergeCells count="2">
    <mergeCell ref="BP295:BP298"/>
    <mergeCell ref="CC871:CC874"/>
  </mergeCells>
  <printOptions horizontalCentered="1"/>
  <pageMargins left="0.1" right="0.1" top="0.75" bottom="0.5" header="0.5" footer="0.25"/>
  <pageSetup paperSize="3" scale="68" fitToHeight="20" orientation="landscape" r:id="rId1"/>
  <headerFooter>
    <oddHeader>&amp;CFY23 BUDGET - &amp;A</oddHeader>
    <oddFooter>&amp;L&amp;12March 29, 2022&amp;C&amp;12Page &amp;P of &amp;N&amp;R&amp;12&amp;F / &amp;A</oddFooter>
  </headerFooter>
  <rowBreaks count="13" manualBreakCount="13">
    <brk id="68" max="16383" man="1"/>
    <brk id="145" max="16383" man="1"/>
    <brk id="216" max="16383" man="1"/>
    <brk id="282" max="16383" man="1"/>
    <brk id="355" max="16383" man="1"/>
    <brk id="417" max="16383" man="1"/>
    <brk id="510" max="16383" man="1"/>
    <brk id="583" max="16383" man="1"/>
    <brk id="638" max="16383" man="1"/>
    <brk id="681" max="16383" man="1"/>
    <brk id="756" max="16383" man="1"/>
    <brk id="830" max="16383" man="1"/>
    <brk id="86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7"/>
  </sheetPr>
  <dimension ref="A1:W98"/>
  <sheetViews>
    <sheetView topLeftCell="E1" zoomScaleNormal="100" workbookViewId="0">
      <pane ySplit="5" topLeftCell="A36" activePane="bottomLeft" state="frozen"/>
      <selection pane="bottomLeft" activeCell="Q40" sqref="Q40"/>
    </sheetView>
  </sheetViews>
  <sheetFormatPr defaultColWidth="9.109375" defaultRowHeight="14.4" x14ac:dyDescent="0.3"/>
  <cols>
    <col min="1" max="1" width="4.6640625" style="153" customWidth="1"/>
    <col min="2" max="3" width="5.33203125" style="153" customWidth="1"/>
    <col min="4" max="4" width="24.6640625" style="151" customWidth="1"/>
    <col min="5" max="5" width="29.6640625" style="151" customWidth="1"/>
    <col min="6" max="6" width="10.6640625" style="154" customWidth="1"/>
    <col min="7" max="7" width="12.5546875" style="154" bestFit="1" customWidth="1"/>
    <col min="8" max="8" width="43.33203125" style="150" bestFit="1" customWidth="1"/>
    <col min="9" max="12" width="10.6640625" style="150" customWidth="1"/>
    <col min="13" max="13" width="1.6640625" style="260" customWidth="1"/>
    <col min="14" max="16" width="9.5546875" style="387" customWidth="1"/>
    <col min="17" max="17" width="9.5546875" style="501" customWidth="1"/>
    <col min="18" max="19" width="9.5546875" style="387" customWidth="1"/>
    <col min="20" max="20" width="9.44140625" style="386" customWidth="1"/>
    <col min="21" max="21" width="49.33203125" style="225" customWidth="1"/>
    <col min="22" max="22" width="5.109375" style="407" customWidth="1"/>
    <col min="23" max="23" width="5.109375" style="407" bestFit="1" customWidth="1"/>
    <col min="24" max="16384" width="9.109375" style="150"/>
  </cols>
  <sheetData>
    <row r="1" spans="1:23" ht="21" x14ac:dyDescent="0.3">
      <c r="A1" s="965" t="s">
        <v>673</v>
      </c>
      <c r="B1" s="965"/>
      <c r="C1" s="965"/>
      <c r="D1" s="965"/>
      <c r="E1" s="965"/>
      <c r="F1" s="965"/>
      <c r="G1" s="965"/>
      <c r="H1" s="965"/>
      <c r="I1" s="965"/>
      <c r="J1" s="965"/>
      <c r="K1" s="965"/>
      <c r="L1" s="965"/>
      <c r="M1" s="476"/>
      <c r="N1" s="993" t="s">
        <v>1181</v>
      </c>
      <c r="O1" s="993"/>
      <c r="P1" s="993"/>
      <c r="Q1" s="993"/>
      <c r="R1" s="993"/>
      <c r="S1" s="993"/>
      <c r="T1" s="993"/>
      <c r="U1" s="993"/>
    </row>
    <row r="2" spans="1:23" ht="21" customHeight="1" x14ac:dyDescent="0.3">
      <c r="A2" s="966" t="s">
        <v>1029</v>
      </c>
      <c r="B2" s="966"/>
      <c r="C2" s="966"/>
      <c r="D2" s="966"/>
      <c r="E2" s="966"/>
      <c r="F2" s="966"/>
      <c r="G2" s="966"/>
      <c r="H2" s="966"/>
      <c r="I2" s="968" t="s">
        <v>1358</v>
      </c>
      <c r="J2" s="970" t="s">
        <v>670</v>
      </c>
      <c r="K2" s="972" t="s">
        <v>671</v>
      </c>
      <c r="L2" s="974" t="s">
        <v>672</v>
      </c>
      <c r="M2" s="477"/>
      <c r="N2" s="710"/>
      <c r="O2" s="710"/>
      <c r="P2" s="710"/>
      <c r="Q2" s="711"/>
      <c r="R2" s="710"/>
      <c r="S2" s="710"/>
      <c r="T2" s="712"/>
      <c r="U2" s="713"/>
    </row>
    <row r="3" spans="1:23" ht="69.900000000000006" customHeight="1" x14ac:dyDescent="0.3">
      <c r="A3" s="967"/>
      <c r="B3" s="967"/>
      <c r="C3" s="967"/>
      <c r="D3" s="967"/>
      <c r="E3" s="967"/>
      <c r="F3" s="967"/>
      <c r="G3" s="967"/>
      <c r="H3" s="967"/>
      <c r="I3" s="968"/>
      <c r="J3" s="970"/>
      <c r="K3" s="972"/>
      <c r="L3" s="974"/>
      <c r="M3" s="477"/>
      <c r="N3" s="714" t="s">
        <v>1179</v>
      </c>
      <c r="O3" s="714" t="s">
        <v>1180</v>
      </c>
      <c r="P3" s="715" t="s">
        <v>1246</v>
      </c>
      <c r="Q3" s="716" t="s">
        <v>777</v>
      </c>
      <c r="R3" s="715" t="s">
        <v>1178</v>
      </c>
      <c r="S3" s="715" t="s">
        <v>1165</v>
      </c>
      <c r="T3" s="717" t="s">
        <v>1100</v>
      </c>
      <c r="U3" s="717" t="s">
        <v>778</v>
      </c>
    </row>
    <row r="4" spans="1:23" s="153" customFormat="1" ht="15" customHeight="1" x14ac:dyDescent="0.3">
      <c r="A4" s="331"/>
      <c r="B4" s="984" t="s">
        <v>561</v>
      </c>
      <c r="C4" s="984"/>
      <c r="D4" s="982" t="s">
        <v>533</v>
      </c>
      <c r="E4" s="982" t="s">
        <v>532</v>
      </c>
      <c r="F4" s="978" t="s">
        <v>1022</v>
      </c>
      <c r="G4" s="976" t="s">
        <v>1023</v>
      </c>
      <c r="H4" s="980" t="s">
        <v>615</v>
      </c>
      <c r="I4" s="968"/>
      <c r="J4" s="970"/>
      <c r="K4" s="972"/>
      <c r="L4" s="974"/>
      <c r="M4" s="477"/>
      <c r="N4" s="718"/>
      <c r="O4" s="718"/>
      <c r="P4" s="718"/>
      <c r="Q4" s="719"/>
      <c r="R4" s="718"/>
      <c r="S4" s="718"/>
      <c r="T4" s="720"/>
      <c r="U4" s="721"/>
      <c r="V4" s="408"/>
      <c r="W4" s="408"/>
    </row>
    <row r="5" spans="1:23" s="153" customFormat="1" ht="15" customHeight="1" x14ac:dyDescent="0.3">
      <c r="A5" s="332"/>
      <c r="B5" s="985"/>
      <c r="C5" s="985"/>
      <c r="D5" s="983"/>
      <c r="E5" s="983"/>
      <c r="F5" s="979"/>
      <c r="G5" s="977"/>
      <c r="H5" s="981"/>
      <c r="I5" s="969"/>
      <c r="J5" s="971"/>
      <c r="K5" s="973"/>
      <c r="L5" s="975"/>
      <c r="M5" s="478"/>
      <c r="N5" s="718"/>
      <c r="O5" s="718"/>
      <c r="P5" s="718"/>
      <c r="Q5" s="719"/>
      <c r="R5" s="718"/>
      <c r="S5" s="718"/>
      <c r="T5" s="720"/>
      <c r="U5" s="721"/>
      <c r="V5" s="408"/>
      <c r="W5" s="408"/>
    </row>
    <row r="6" spans="1:23" s="260" customFormat="1" ht="193.2" x14ac:dyDescent="0.3">
      <c r="A6" s="263">
        <v>1</v>
      </c>
      <c r="B6" s="320">
        <v>12201</v>
      </c>
      <c r="C6" s="321" t="s">
        <v>1451</v>
      </c>
      <c r="D6" s="404" t="s">
        <v>1415</v>
      </c>
      <c r="E6" s="258" t="s">
        <v>1503</v>
      </c>
      <c r="F6" s="261" t="s">
        <v>1366</v>
      </c>
      <c r="G6" s="262">
        <v>8413</v>
      </c>
      <c r="H6" s="258" t="s">
        <v>1502</v>
      </c>
      <c r="I6" s="705"/>
      <c r="J6" s="706"/>
      <c r="K6" s="707"/>
      <c r="L6" s="708">
        <v>8413</v>
      </c>
      <c r="M6" s="479"/>
      <c r="N6" s="709"/>
      <c r="O6" s="709"/>
      <c r="P6" s="709">
        <v>8413</v>
      </c>
      <c r="Q6" s="500">
        <v>44648</v>
      </c>
      <c r="R6" s="523"/>
      <c r="S6" s="523"/>
      <c r="T6" s="487"/>
      <c r="U6" s="489" t="s">
        <v>1658</v>
      </c>
      <c r="V6" s="407"/>
      <c r="W6" s="407"/>
    </row>
    <row r="7" spans="1:23" s="260" customFormat="1" ht="69.900000000000006" customHeight="1" x14ac:dyDescent="0.3">
      <c r="A7" s="263">
        <v>2</v>
      </c>
      <c r="B7" s="264">
        <v>12202</v>
      </c>
      <c r="C7" s="265">
        <v>51143</v>
      </c>
      <c r="D7" s="405" t="s">
        <v>1406</v>
      </c>
      <c r="E7" s="865" t="s">
        <v>1590</v>
      </c>
      <c r="F7" s="261" t="s">
        <v>1366</v>
      </c>
      <c r="G7" s="262">
        <v>552</v>
      </c>
      <c r="H7" s="258" t="s">
        <v>1407</v>
      </c>
      <c r="I7" s="705"/>
      <c r="J7" s="706"/>
      <c r="K7" s="707"/>
      <c r="L7" s="708">
        <v>552</v>
      </c>
      <c r="M7" s="479"/>
      <c r="N7" s="709"/>
      <c r="O7" s="709">
        <v>552</v>
      </c>
      <c r="P7" s="709"/>
      <c r="Q7" s="908"/>
      <c r="R7" s="909"/>
      <c r="S7" s="909"/>
      <c r="T7" s="910"/>
      <c r="U7" s="489" t="s">
        <v>1647</v>
      </c>
      <c r="V7" s="407"/>
      <c r="W7" s="407"/>
    </row>
    <row r="8" spans="1:23" s="260" customFormat="1" ht="110.1" customHeight="1" x14ac:dyDescent="0.3">
      <c r="A8" s="263">
        <v>3</v>
      </c>
      <c r="B8" s="320">
        <v>12405</v>
      </c>
      <c r="C8" s="321"/>
      <c r="D8" s="404" t="s">
        <v>1412</v>
      </c>
      <c r="E8" s="258" t="s">
        <v>1413</v>
      </c>
      <c r="F8" s="261" t="s">
        <v>1366</v>
      </c>
      <c r="G8" s="262">
        <v>10000</v>
      </c>
      <c r="H8" s="258" t="s">
        <v>1517</v>
      </c>
      <c r="I8" s="705"/>
      <c r="J8" s="706"/>
      <c r="K8" s="707"/>
      <c r="L8" s="855"/>
      <c r="M8" s="479"/>
      <c r="N8" s="709"/>
      <c r="O8" s="709">
        <v>10000</v>
      </c>
      <c r="P8" s="709"/>
      <c r="Q8" s="908"/>
      <c r="R8" s="909"/>
      <c r="S8" s="909"/>
      <c r="T8" s="910"/>
      <c r="U8" s="879" t="s">
        <v>1615</v>
      </c>
      <c r="V8" s="407"/>
      <c r="W8" s="407"/>
    </row>
    <row r="9" spans="1:23" s="260" customFormat="1" ht="60" customHeight="1" x14ac:dyDescent="0.3">
      <c r="A9" s="263">
        <v>4</v>
      </c>
      <c r="B9" s="264">
        <v>14505</v>
      </c>
      <c r="C9" s="265">
        <v>53141</v>
      </c>
      <c r="D9" s="404" t="s">
        <v>1365</v>
      </c>
      <c r="E9" s="258" t="s">
        <v>1414</v>
      </c>
      <c r="F9" s="261" t="s">
        <v>1366</v>
      </c>
      <c r="G9" s="262">
        <v>8100</v>
      </c>
      <c r="H9" s="258" t="s">
        <v>1404</v>
      </c>
      <c r="I9" s="705">
        <v>8100</v>
      </c>
      <c r="J9" s="706"/>
      <c r="K9" s="707"/>
      <c r="L9" s="708"/>
      <c r="M9" s="479"/>
      <c r="N9" s="709"/>
      <c r="O9" s="709"/>
      <c r="P9" s="709">
        <v>8100</v>
      </c>
      <c r="Q9" s="500">
        <v>44634</v>
      </c>
      <c r="R9" s="523" t="s">
        <v>1633</v>
      </c>
      <c r="S9" s="523" t="s">
        <v>1634</v>
      </c>
      <c r="T9" s="487" t="s">
        <v>1620</v>
      </c>
      <c r="U9" s="488"/>
      <c r="V9" s="407"/>
      <c r="W9" s="407"/>
    </row>
    <row r="10" spans="1:23" s="260" customFormat="1" ht="96.6" x14ac:dyDescent="0.3">
      <c r="A10" s="263">
        <v>5</v>
      </c>
      <c r="B10" s="264">
        <v>15005</v>
      </c>
      <c r="C10" s="265" t="s">
        <v>1451</v>
      </c>
      <c r="D10" s="404" t="s">
        <v>1535</v>
      </c>
      <c r="E10" s="258" t="s">
        <v>1567</v>
      </c>
      <c r="F10" s="261"/>
      <c r="G10" s="262">
        <v>3500</v>
      </c>
      <c r="H10" s="258" t="s">
        <v>1568</v>
      </c>
      <c r="I10" s="705"/>
      <c r="J10" s="706">
        <v>3500</v>
      </c>
      <c r="K10" s="707"/>
      <c r="L10" s="708"/>
      <c r="M10" s="479"/>
      <c r="N10" s="709"/>
      <c r="O10" s="709"/>
      <c r="P10" s="709">
        <v>3500</v>
      </c>
      <c r="Q10" s="500">
        <v>44634</v>
      </c>
      <c r="R10" s="523" t="s">
        <v>1633</v>
      </c>
      <c r="S10" s="523" t="s">
        <v>1634</v>
      </c>
      <c r="T10" s="487" t="s">
        <v>1620</v>
      </c>
      <c r="U10" s="488" t="s">
        <v>1632</v>
      </c>
      <c r="V10" s="407"/>
      <c r="W10" s="407"/>
    </row>
    <row r="11" spans="1:23" s="260" customFormat="1" ht="82.8" x14ac:dyDescent="0.3">
      <c r="A11" s="263">
        <v>6</v>
      </c>
      <c r="B11" s="264">
        <v>15005</v>
      </c>
      <c r="C11" s="265">
        <v>53046</v>
      </c>
      <c r="D11" s="404" t="s">
        <v>1564</v>
      </c>
      <c r="E11" s="258" t="s">
        <v>1565</v>
      </c>
      <c r="F11" s="261"/>
      <c r="G11" s="262">
        <v>8310</v>
      </c>
      <c r="H11" s="258" t="s">
        <v>1570</v>
      </c>
      <c r="I11" s="705"/>
      <c r="J11" s="706">
        <v>8310</v>
      </c>
      <c r="K11" s="707"/>
      <c r="L11" s="708"/>
      <c r="M11" s="479"/>
      <c r="N11" s="709"/>
      <c r="O11" s="709">
        <v>5010</v>
      </c>
      <c r="P11" s="709">
        <v>3300</v>
      </c>
      <c r="Q11" s="500">
        <v>44634</v>
      </c>
      <c r="R11" s="523" t="s">
        <v>1633</v>
      </c>
      <c r="S11" s="523" t="s">
        <v>1634</v>
      </c>
      <c r="T11" s="487" t="s">
        <v>1620</v>
      </c>
      <c r="U11" s="488" t="s">
        <v>1635</v>
      </c>
      <c r="V11" s="407"/>
      <c r="W11" s="407"/>
    </row>
    <row r="12" spans="1:23" s="260" customFormat="1" ht="60" customHeight="1" x14ac:dyDescent="0.3">
      <c r="A12" s="263">
        <v>7</v>
      </c>
      <c r="B12" s="264">
        <v>15105</v>
      </c>
      <c r="C12" s="265">
        <v>52100</v>
      </c>
      <c r="D12" s="404" t="s">
        <v>1416</v>
      </c>
      <c r="E12" s="258" t="s">
        <v>1417</v>
      </c>
      <c r="F12" s="261" t="s">
        <v>1366</v>
      </c>
      <c r="G12" s="262">
        <v>225</v>
      </c>
      <c r="H12" s="258" t="s">
        <v>1481</v>
      </c>
      <c r="I12" s="705"/>
      <c r="J12" s="706"/>
      <c r="K12" s="707">
        <v>225</v>
      </c>
      <c r="L12" s="708"/>
      <c r="M12" s="479"/>
      <c r="N12" s="709"/>
      <c r="O12" s="709"/>
      <c r="P12" s="709">
        <v>225</v>
      </c>
      <c r="Q12" s="500">
        <v>44634</v>
      </c>
      <c r="R12" s="523" t="s">
        <v>1633</v>
      </c>
      <c r="S12" s="523" t="s">
        <v>1634</v>
      </c>
      <c r="T12" s="487" t="s">
        <v>1620</v>
      </c>
      <c r="U12" s="488"/>
      <c r="V12" s="407"/>
      <c r="W12" s="407"/>
    </row>
    <row r="13" spans="1:23" s="260" customFormat="1" ht="207" x14ac:dyDescent="0.3">
      <c r="A13" s="263">
        <v>8</v>
      </c>
      <c r="B13" s="264">
        <v>16102</v>
      </c>
      <c r="C13" s="265">
        <v>51870</v>
      </c>
      <c r="D13" s="404" t="s">
        <v>1383</v>
      </c>
      <c r="E13" s="938" t="s">
        <v>1520</v>
      </c>
      <c r="F13" s="261"/>
      <c r="G13" s="262">
        <v>9669</v>
      </c>
      <c r="H13" s="322" t="s">
        <v>1521</v>
      </c>
      <c r="I13" s="705"/>
      <c r="J13" s="706"/>
      <c r="K13" s="707">
        <v>9669</v>
      </c>
      <c r="L13" s="708"/>
      <c r="M13" s="479"/>
      <c r="N13" s="709"/>
      <c r="O13" s="709"/>
      <c r="P13" s="709">
        <v>9669</v>
      </c>
      <c r="Q13" s="962">
        <v>44634</v>
      </c>
      <c r="R13" s="948" t="s">
        <v>1633</v>
      </c>
      <c r="S13" s="948" t="s">
        <v>1634</v>
      </c>
      <c r="T13" s="950" t="s">
        <v>1620</v>
      </c>
      <c r="U13" s="489"/>
      <c r="V13" s="407"/>
      <c r="W13" s="407"/>
    </row>
    <row r="14" spans="1:23" s="260" customFormat="1" ht="60" customHeight="1" x14ac:dyDescent="0.3">
      <c r="A14" s="263">
        <v>9</v>
      </c>
      <c r="B14" s="264">
        <v>16105</v>
      </c>
      <c r="C14" s="265">
        <v>52700</v>
      </c>
      <c r="D14" s="404" t="s">
        <v>1384</v>
      </c>
      <c r="E14" s="939"/>
      <c r="F14" s="261"/>
      <c r="G14" s="262">
        <v>300</v>
      </c>
      <c r="H14" s="322" t="s">
        <v>1408</v>
      </c>
      <c r="I14" s="705"/>
      <c r="J14" s="706"/>
      <c r="K14" s="707">
        <v>300</v>
      </c>
      <c r="L14" s="708"/>
      <c r="M14" s="479"/>
      <c r="N14" s="709"/>
      <c r="O14" s="709"/>
      <c r="P14" s="709">
        <v>300</v>
      </c>
      <c r="Q14" s="990"/>
      <c r="R14" s="991"/>
      <c r="S14" s="991"/>
      <c r="T14" s="992"/>
      <c r="U14" s="489"/>
      <c r="V14" s="407"/>
      <c r="W14" s="407"/>
    </row>
    <row r="15" spans="1:23" s="260" customFormat="1" ht="95.1" customHeight="1" x14ac:dyDescent="0.3">
      <c r="A15" s="263">
        <v>10</v>
      </c>
      <c r="B15" s="264">
        <v>16105</v>
      </c>
      <c r="C15" s="265">
        <v>54224</v>
      </c>
      <c r="D15" s="404" t="s">
        <v>1385</v>
      </c>
      <c r="E15" s="940"/>
      <c r="F15" s="261"/>
      <c r="G15" s="262">
        <v>2520</v>
      </c>
      <c r="H15" s="322" t="s">
        <v>1409</v>
      </c>
      <c r="I15" s="705"/>
      <c r="J15" s="706"/>
      <c r="K15" s="707">
        <v>2520</v>
      </c>
      <c r="L15" s="708"/>
      <c r="M15" s="479"/>
      <c r="N15" s="709"/>
      <c r="O15" s="709"/>
      <c r="P15" s="709">
        <v>2520</v>
      </c>
      <c r="Q15" s="963"/>
      <c r="R15" s="949"/>
      <c r="S15" s="949"/>
      <c r="T15" s="951"/>
      <c r="U15" s="488"/>
      <c r="V15" s="407"/>
      <c r="W15" s="407"/>
    </row>
    <row r="16" spans="1:23" s="260" customFormat="1" ht="151.80000000000001" x14ac:dyDescent="0.3">
      <c r="A16" s="263">
        <v>11</v>
      </c>
      <c r="B16" s="264">
        <v>16105</v>
      </c>
      <c r="C16" s="265" t="s">
        <v>1451</v>
      </c>
      <c r="D16" s="404" t="s">
        <v>1410</v>
      </c>
      <c r="E16" s="322" t="s">
        <v>1411</v>
      </c>
      <c r="F16" s="261"/>
      <c r="G16" s="262">
        <v>7000</v>
      </c>
      <c r="H16" s="322" t="s">
        <v>1566</v>
      </c>
      <c r="I16" s="705"/>
      <c r="J16" s="706"/>
      <c r="K16" s="707"/>
      <c r="L16" s="858"/>
      <c r="M16" s="479"/>
      <c r="N16" s="709"/>
      <c r="O16" s="709">
        <v>7000</v>
      </c>
      <c r="P16" s="709"/>
      <c r="Q16" s="908"/>
      <c r="R16" s="909"/>
      <c r="S16" s="909"/>
      <c r="T16" s="910"/>
      <c r="U16" s="488" t="s">
        <v>1591</v>
      </c>
      <c r="V16" s="407"/>
      <c r="W16" s="407"/>
    </row>
    <row r="17" spans="1:23" s="260" customFormat="1" ht="151.80000000000001" x14ac:dyDescent="0.3">
      <c r="A17" s="263">
        <v>12</v>
      </c>
      <c r="B17" s="264">
        <v>18201</v>
      </c>
      <c r="C17" s="265" t="s">
        <v>1451</v>
      </c>
      <c r="D17" s="413" t="s">
        <v>1545</v>
      </c>
      <c r="E17" s="322" t="s">
        <v>1546</v>
      </c>
      <c r="F17" s="261"/>
      <c r="G17" s="262">
        <v>35497</v>
      </c>
      <c r="H17" s="258" t="s">
        <v>1518</v>
      </c>
      <c r="I17" s="705"/>
      <c r="J17" s="706"/>
      <c r="K17" s="707"/>
      <c r="L17" s="708">
        <v>35497</v>
      </c>
      <c r="M17" s="479"/>
      <c r="N17" s="709"/>
      <c r="O17" s="709">
        <v>35497</v>
      </c>
      <c r="P17" s="709"/>
      <c r="Q17" s="908"/>
      <c r="R17" s="909"/>
      <c r="S17" s="909"/>
      <c r="T17" s="910"/>
      <c r="U17" s="489" t="s">
        <v>1645</v>
      </c>
      <c r="V17" s="407"/>
      <c r="W17" s="407"/>
    </row>
    <row r="18" spans="1:23" s="260" customFormat="1" ht="96.6" x14ac:dyDescent="0.3">
      <c r="A18" s="263">
        <v>13</v>
      </c>
      <c r="B18" s="264">
        <v>21005</v>
      </c>
      <c r="C18" s="265">
        <v>53000</v>
      </c>
      <c r="D18" s="413" t="s">
        <v>1399</v>
      </c>
      <c r="E18" s="258" t="s">
        <v>1488</v>
      </c>
      <c r="F18" s="261"/>
      <c r="G18" s="262">
        <v>282</v>
      </c>
      <c r="H18" s="322" t="s">
        <v>1445</v>
      </c>
      <c r="I18" s="705"/>
      <c r="J18" s="706"/>
      <c r="K18" s="707">
        <v>282</v>
      </c>
      <c r="L18" s="708"/>
      <c r="M18" s="479"/>
      <c r="N18" s="709"/>
      <c r="O18" s="709">
        <v>282</v>
      </c>
      <c r="P18" s="709"/>
      <c r="Q18" s="908">
        <v>44634</v>
      </c>
      <c r="R18" s="909"/>
      <c r="S18" s="909"/>
      <c r="T18" s="910"/>
      <c r="U18" s="488" t="s">
        <v>1637</v>
      </c>
      <c r="V18" s="407"/>
      <c r="W18" s="407"/>
    </row>
    <row r="19" spans="1:23" s="260" customFormat="1" ht="98.1" customHeight="1" x14ac:dyDescent="0.3">
      <c r="A19" s="263">
        <v>14</v>
      </c>
      <c r="B19" s="264">
        <v>21005</v>
      </c>
      <c r="C19" s="265">
        <v>53045</v>
      </c>
      <c r="D19" s="864" t="s">
        <v>1426</v>
      </c>
      <c r="E19" s="873" t="s">
        <v>1496</v>
      </c>
      <c r="F19" s="874"/>
      <c r="G19" s="875">
        <v>8760</v>
      </c>
      <c r="H19" s="876" t="s">
        <v>1504</v>
      </c>
      <c r="I19" s="705"/>
      <c r="J19" s="706"/>
      <c r="K19" s="707"/>
      <c r="L19" s="858"/>
      <c r="M19" s="479"/>
      <c r="N19" s="709"/>
      <c r="O19" s="709">
        <v>8760</v>
      </c>
      <c r="P19" s="709"/>
      <c r="Q19" s="908"/>
      <c r="R19" s="909"/>
      <c r="S19" s="909"/>
      <c r="T19" s="910"/>
      <c r="U19" s="879" t="s">
        <v>1616</v>
      </c>
      <c r="V19" s="407"/>
      <c r="W19" s="407"/>
    </row>
    <row r="20" spans="1:23" s="260" customFormat="1" ht="69.900000000000006" customHeight="1" x14ac:dyDescent="0.3">
      <c r="A20" s="263">
        <v>15</v>
      </c>
      <c r="B20" s="264">
        <v>21005</v>
      </c>
      <c r="C20" s="265">
        <v>54226</v>
      </c>
      <c r="D20" s="413" t="s">
        <v>1427</v>
      </c>
      <c r="E20" s="258" t="s">
        <v>1489</v>
      </c>
      <c r="F20" s="261"/>
      <c r="G20" s="262">
        <v>2934</v>
      </c>
      <c r="H20" s="322" t="s">
        <v>1505</v>
      </c>
      <c r="I20" s="705"/>
      <c r="J20" s="706"/>
      <c r="K20" s="707">
        <v>2934</v>
      </c>
      <c r="L20" s="708"/>
      <c r="M20" s="479"/>
      <c r="N20" s="709"/>
      <c r="O20" s="709">
        <v>2934</v>
      </c>
      <c r="P20" s="709"/>
      <c r="Q20" s="908">
        <v>44634</v>
      </c>
      <c r="R20" s="909"/>
      <c r="S20" s="909"/>
      <c r="T20" s="910"/>
      <c r="U20" s="488" t="s">
        <v>1637</v>
      </c>
      <c r="V20" s="407"/>
      <c r="W20" s="407"/>
    </row>
    <row r="21" spans="1:23" s="260" customFormat="1" ht="60" customHeight="1" x14ac:dyDescent="0.3">
      <c r="A21" s="263">
        <v>16</v>
      </c>
      <c r="B21" s="264">
        <v>21005</v>
      </c>
      <c r="C21" s="265">
        <v>54500</v>
      </c>
      <c r="D21" s="413" t="s">
        <v>1400</v>
      </c>
      <c r="E21" s="258" t="s">
        <v>1490</v>
      </c>
      <c r="F21" s="261"/>
      <c r="G21" s="262">
        <v>695</v>
      </c>
      <c r="H21" s="322" t="s">
        <v>1446</v>
      </c>
      <c r="I21" s="705"/>
      <c r="J21" s="706"/>
      <c r="K21" s="707">
        <v>695</v>
      </c>
      <c r="L21" s="708"/>
      <c r="M21" s="479"/>
      <c r="N21" s="709"/>
      <c r="O21" s="709">
        <v>695</v>
      </c>
      <c r="P21" s="709"/>
      <c r="Q21" s="908">
        <v>44634</v>
      </c>
      <c r="R21" s="909"/>
      <c r="S21" s="909"/>
      <c r="T21" s="910"/>
      <c r="U21" s="488" t="s">
        <v>1637</v>
      </c>
      <c r="V21" s="407"/>
      <c r="W21" s="407"/>
    </row>
    <row r="22" spans="1:23" s="260" customFormat="1" ht="54.9" customHeight="1" x14ac:dyDescent="0.3">
      <c r="A22" s="263">
        <v>17</v>
      </c>
      <c r="B22" s="264">
        <v>21005</v>
      </c>
      <c r="C22" s="265">
        <v>55820</v>
      </c>
      <c r="D22" s="413" t="s">
        <v>1401</v>
      </c>
      <c r="E22" s="258" t="s">
        <v>1491</v>
      </c>
      <c r="F22" s="261"/>
      <c r="G22" s="262">
        <v>332</v>
      </c>
      <c r="H22" s="322" t="s">
        <v>1506</v>
      </c>
      <c r="I22" s="705"/>
      <c r="J22" s="706"/>
      <c r="K22" s="707">
        <v>332</v>
      </c>
      <c r="L22" s="708"/>
      <c r="M22" s="479"/>
      <c r="N22" s="709"/>
      <c r="O22" s="709">
        <v>332</v>
      </c>
      <c r="P22" s="709"/>
      <c r="Q22" s="908">
        <v>44634</v>
      </c>
      <c r="R22" s="909"/>
      <c r="S22" s="909"/>
      <c r="T22" s="910"/>
      <c r="U22" s="488" t="s">
        <v>1637</v>
      </c>
      <c r="V22" s="407"/>
      <c r="W22" s="407"/>
    </row>
    <row r="23" spans="1:23" s="260" customFormat="1" ht="120" customHeight="1" x14ac:dyDescent="0.3">
      <c r="A23" s="263">
        <v>18</v>
      </c>
      <c r="B23" s="264">
        <v>22002</v>
      </c>
      <c r="C23" s="791">
        <v>51130</v>
      </c>
      <c r="D23" s="413" t="s">
        <v>1421</v>
      </c>
      <c r="E23" s="938" t="s">
        <v>1519</v>
      </c>
      <c r="F23" s="944">
        <v>50000</v>
      </c>
      <c r="G23" s="946">
        <f>135547+2800</f>
        <v>138347</v>
      </c>
      <c r="H23" s="938" t="s">
        <v>1522</v>
      </c>
      <c r="I23" s="986">
        <v>50000</v>
      </c>
      <c r="J23" s="988"/>
      <c r="K23" s="956"/>
      <c r="L23" s="958">
        <f>138347</f>
        <v>138347</v>
      </c>
      <c r="M23" s="479"/>
      <c r="N23" s="960"/>
      <c r="O23" s="960">
        <v>50000</v>
      </c>
      <c r="P23" s="960">
        <v>138347</v>
      </c>
      <c r="Q23" s="962">
        <v>44648</v>
      </c>
      <c r="R23" s="948"/>
      <c r="S23" s="948"/>
      <c r="T23" s="950"/>
      <c r="U23" s="954" t="s">
        <v>1646</v>
      </c>
      <c r="V23" s="407"/>
      <c r="W23" s="407"/>
    </row>
    <row r="24" spans="1:23" s="260" customFormat="1" ht="120" customHeight="1" x14ac:dyDescent="0.3">
      <c r="A24" s="263">
        <v>19</v>
      </c>
      <c r="B24" s="264">
        <v>22002</v>
      </c>
      <c r="C24" s="265">
        <v>51920</v>
      </c>
      <c r="D24" s="413" t="s">
        <v>1422</v>
      </c>
      <c r="E24" s="940"/>
      <c r="F24" s="945"/>
      <c r="G24" s="947"/>
      <c r="H24" s="940"/>
      <c r="I24" s="987"/>
      <c r="J24" s="989"/>
      <c r="K24" s="957"/>
      <c r="L24" s="959"/>
      <c r="M24" s="479"/>
      <c r="N24" s="961"/>
      <c r="O24" s="961"/>
      <c r="P24" s="961"/>
      <c r="Q24" s="963"/>
      <c r="R24" s="949"/>
      <c r="S24" s="949"/>
      <c r="T24" s="951"/>
      <c r="U24" s="955"/>
      <c r="V24" s="407"/>
      <c r="W24" s="407"/>
    </row>
    <row r="25" spans="1:23" s="260" customFormat="1" ht="99.9" customHeight="1" x14ac:dyDescent="0.3">
      <c r="A25" s="263">
        <v>20</v>
      </c>
      <c r="B25" s="264">
        <v>22005</v>
      </c>
      <c r="C25" s="265">
        <v>53800</v>
      </c>
      <c r="D25" s="413" t="s">
        <v>1432</v>
      </c>
      <c r="E25" s="799" t="s">
        <v>1523</v>
      </c>
      <c r="F25" s="793"/>
      <c r="G25" s="792">
        <v>8100</v>
      </c>
      <c r="H25" s="799" t="s">
        <v>1524</v>
      </c>
      <c r="I25" s="794"/>
      <c r="J25" s="795">
        <v>8100</v>
      </c>
      <c r="K25" s="796"/>
      <c r="L25" s="797"/>
      <c r="M25" s="479"/>
      <c r="N25" s="859"/>
      <c r="O25" s="859"/>
      <c r="P25" s="859">
        <v>8100</v>
      </c>
      <c r="Q25" s="500">
        <v>44634</v>
      </c>
      <c r="R25" s="523" t="s">
        <v>1633</v>
      </c>
      <c r="S25" s="523" t="s">
        <v>1636</v>
      </c>
      <c r="T25" s="487" t="s">
        <v>1620</v>
      </c>
      <c r="U25" s="798"/>
      <c r="V25" s="407"/>
      <c r="W25" s="407"/>
    </row>
    <row r="26" spans="1:23" s="260" customFormat="1" ht="60" customHeight="1" x14ac:dyDescent="0.3">
      <c r="A26" s="263">
        <v>21</v>
      </c>
      <c r="B26" s="264">
        <v>22005</v>
      </c>
      <c r="C26" s="265">
        <v>55000</v>
      </c>
      <c r="D26" s="413" t="s">
        <v>1433</v>
      </c>
      <c r="E26" s="258" t="s">
        <v>1437</v>
      </c>
      <c r="F26" s="261"/>
      <c r="G26" s="262">
        <v>6000</v>
      </c>
      <c r="H26" s="322" t="s">
        <v>1525</v>
      </c>
      <c r="I26" s="705"/>
      <c r="J26" s="706"/>
      <c r="K26" s="707">
        <v>6000</v>
      </c>
      <c r="L26" s="708"/>
      <c r="M26" s="479"/>
      <c r="N26" s="709"/>
      <c r="O26" s="709"/>
      <c r="P26" s="709">
        <v>6000</v>
      </c>
      <c r="Q26" s="500">
        <v>44634</v>
      </c>
      <c r="R26" s="523" t="s">
        <v>1633</v>
      </c>
      <c r="S26" s="523" t="s">
        <v>1636</v>
      </c>
      <c r="T26" s="487" t="s">
        <v>1620</v>
      </c>
      <c r="U26" s="488" t="s">
        <v>1638</v>
      </c>
      <c r="V26" s="407"/>
      <c r="W26" s="407"/>
    </row>
    <row r="27" spans="1:23" s="260" customFormat="1" ht="96.6" x14ac:dyDescent="0.3">
      <c r="A27" s="263">
        <v>22</v>
      </c>
      <c r="B27" s="264">
        <v>24101</v>
      </c>
      <c r="C27" s="265"/>
      <c r="D27" s="413" t="s">
        <v>1530</v>
      </c>
      <c r="E27" s="258" t="s">
        <v>1531</v>
      </c>
      <c r="F27" s="261"/>
      <c r="G27" s="262">
        <v>18479</v>
      </c>
      <c r="H27" s="322" t="s">
        <v>1572</v>
      </c>
      <c r="I27" s="705"/>
      <c r="J27" s="706"/>
      <c r="K27" s="707">
        <v>18479</v>
      </c>
      <c r="L27" s="708"/>
      <c r="M27" s="479"/>
      <c r="N27" s="709"/>
      <c r="O27" s="709">
        <v>13529</v>
      </c>
      <c r="P27" s="709">
        <v>4950</v>
      </c>
      <c r="Q27" s="500">
        <v>44634</v>
      </c>
      <c r="R27" s="523" t="s">
        <v>1633</v>
      </c>
      <c r="S27" s="523" t="s">
        <v>1640</v>
      </c>
      <c r="T27" s="487" t="s">
        <v>1620</v>
      </c>
      <c r="U27" s="488" t="s">
        <v>1639</v>
      </c>
      <c r="V27" s="407"/>
      <c r="W27" s="407"/>
    </row>
    <row r="28" spans="1:23" s="260" customFormat="1" ht="82.8" x14ac:dyDescent="0.3">
      <c r="A28" s="263">
        <v>23</v>
      </c>
      <c r="B28" s="264">
        <v>24102</v>
      </c>
      <c r="C28" s="265">
        <v>51140</v>
      </c>
      <c r="D28" s="413" t="s">
        <v>1438</v>
      </c>
      <c r="E28" s="322" t="s">
        <v>1439</v>
      </c>
      <c r="F28" s="261"/>
      <c r="G28" s="262">
        <v>1721</v>
      </c>
      <c r="H28" s="322" t="s">
        <v>1573</v>
      </c>
      <c r="I28" s="705"/>
      <c r="J28" s="706"/>
      <c r="K28" s="707">
        <v>1721</v>
      </c>
      <c r="L28" s="708"/>
      <c r="M28" s="479"/>
      <c r="N28" s="709"/>
      <c r="O28" s="709"/>
      <c r="P28" s="709">
        <v>1721</v>
      </c>
      <c r="Q28" s="500">
        <v>44634</v>
      </c>
      <c r="R28" s="523" t="s">
        <v>1633</v>
      </c>
      <c r="S28" s="523" t="s">
        <v>1640</v>
      </c>
      <c r="T28" s="487" t="s">
        <v>1620</v>
      </c>
      <c r="U28" s="488"/>
      <c r="V28" s="407"/>
      <c r="W28" s="407"/>
    </row>
    <row r="29" spans="1:23" s="260" customFormat="1" ht="69.900000000000006" customHeight="1" x14ac:dyDescent="0.3">
      <c r="A29" s="263">
        <v>24</v>
      </c>
      <c r="B29" s="264">
        <v>29505</v>
      </c>
      <c r="C29" s="265">
        <v>52960</v>
      </c>
      <c r="D29" s="413" t="s">
        <v>1419</v>
      </c>
      <c r="E29" s="258" t="s">
        <v>1420</v>
      </c>
      <c r="F29" s="261"/>
      <c r="G29" s="262">
        <v>2925</v>
      </c>
      <c r="H29" s="322" t="s">
        <v>1423</v>
      </c>
      <c r="I29" s="705"/>
      <c r="J29" s="706"/>
      <c r="K29" s="856"/>
      <c r="L29" s="708"/>
      <c r="M29" s="479"/>
      <c r="N29" s="709"/>
      <c r="O29" s="709">
        <v>2925</v>
      </c>
      <c r="P29" s="709"/>
      <c r="Q29" s="908"/>
      <c r="R29" s="909"/>
      <c r="S29" s="909"/>
      <c r="T29" s="910"/>
      <c r="U29" s="879" t="s">
        <v>1610</v>
      </c>
      <c r="V29" s="407"/>
      <c r="W29" s="407"/>
    </row>
    <row r="30" spans="1:23" s="260" customFormat="1" ht="159.9" customHeight="1" x14ac:dyDescent="0.3">
      <c r="A30" s="263">
        <v>25</v>
      </c>
      <c r="B30" s="264">
        <v>41105</v>
      </c>
      <c r="C30" s="265"/>
      <c r="D30" s="413" t="s">
        <v>1440</v>
      </c>
      <c r="E30" s="322" t="s">
        <v>1526</v>
      </c>
      <c r="F30" s="261"/>
      <c r="G30" s="262">
        <v>10000</v>
      </c>
      <c r="H30" s="322" t="s">
        <v>1527</v>
      </c>
      <c r="I30" s="705"/>
      <c r="J30" s="706"/>
      <c r="K30" s="707"/>
      <c r="L30" s="855"/>
      <c r="M30" s="479"/>
      <c r="N30" s="709"/>
      <c r="O30" s="709">
        <v>10000</v>
      </c>
      <c r="P30" s="709"/>
      <c r="Q30" s="908"/>
      <c r="R30" s="909"/>
      <c r="S30" s="909"/>
      <c r="T30" s="910"/>
      <c r="U30" s="879" t="s">
        <v>1611</v>
      </c>
      <c r="V30" s="407"/>
      <c r="W30" s="407"/>
    </row>
    <row r="31" spans="1:23" s="260" customFormat="1" ht="315" customHeight="1" x14ac:dyDescent="0.3">
      <c r="A31" s="263">
        <v>26</v>
      </c>
      <c r="B31" s="264">
        <v>49201</v>
      </c>
      <c r="C31" s="265">
        <v>51131</v>
      </c>
      <c r="D31" s="864" t="s">
        <v>1375</v>
      </c>
      <c r="E31" s="873" t="s">
        <v>1476</v>
      </c>
      <c r="F31" s="874">
        <v>25000</v>
      </c>
      <c r="G31" s="875">
        <v>49700</v>
      </c>
      <c r="H31" s="873" t="s">
        <v>1487</v>
      </c>
      <c r="I31" s="857"/>
      <c r="J31" s="706"/>
      <c r="K31" s="707"/>
      <c r="L31" s="855"/>
      <c r="M31" s="479"/>
      <c r="N31" s="709"/>
      <c r="O31" s="709">
        <f>74700</f>
        <v>74700</v>
      </c>
      <c r="P31" s="709"/>
      <c r="Q31" s="908"/>
      <c r="R31" s="909"/>
      <c r="S31" s="909"/>
      <c r="T31" s="910"/>
      <c r="U31" s="879" t="s">
        <v>1612</v>
      </c>
      <c r="V31" s="407"/>
      <c r="W31" s="407"/>
    </row>
    <row r="32" spans="1:23" s="260" customFormat="1" ht="159.9" customHeight="1" x14ac:dyDescent="0.3">
      <c r="A32" s="867">
        <v>26</v>
      </c>
      <c r="B32" s="868">
        <v>49205</v>
      </c>
      <c r="C32" s="869" t="s">
        <v>1595</v>
      </c>
      <c r="D32" s="870" t="s">
        <v>1593</v>
      </c>
      <c r="E32" s="865" t="s">
        <v>1594</v>
      </c>
      <c r="F32" s="871">
        <v>-50000</v>
      </c>
      <c r="G32" s="872">
        <v>50000</v>
      </c>
      <c r="H32" s="865" t="s">
        <v>1596</v>
      </c>
      <c r="I32" s="705"/>
      <c r="J32" s="706"/>
      <c r="K32" s="707"/>
      <c r="L32" s="708"/>
      <c r="M32" s="479"/>
      <c r="N32" s="709"/>
      <c r="O32" s="709"/>
      <c r="P32" s="709"/>
      <c r="Q32" s="500">
        <v>44634</v>
      </c>
      <c r="R32" s="523" t="s">
        <v>1633</v>
      </c>
      <c r="S32" s="523" t="s">
        <v>1636</v>
      </c>
      <c r="T32" s="487" t="s">
        <v>1620</v>
      </c>
      <c r="U32" s="488" t="s">
        <v>1641</v>
      </c>
      <c r="V32" s="407"/>
      <c r="W32" s="407"/>
    </row>
    <row r="33" spans="1:23" s="260" customFormat="1" ht="69" x14ac:dyDescent="0.3">
      <c r="A33" s="263">
        <v>27</v>
      </c>
      <c r="B33" s="264">
        <v>49205</v>
      </c>
      <c r="C33" s="265">
        <v>55830</v>
      </c>
      <c r="D33" s="413" t="s">
        <v>1376</v>
      </c>
      <c r="E33" s="258" t="s">
        <v>1447</v>
      </c>
      <c r="F33" s="261"/>
      <c r="G33" s="262">
        <v>10000</v>
      </c>
      <c r="H33" s="322" t="s">
        <v>1402</v>
      </c>
      <c r="I33" s="705"/>
      <c r="J33" s="706"/>
      <c r="K33" s="856"/>
      <c r="L33" s="708"/>
      <c r="M33" s="479"/>
      <c r="N33" s="709"/>
      <c r="O33" s="709">
        <v>10000</v>
      </c>
      <c r="P33" s="709"/>
      <c r="Q33" s="908"/>
      <c r="R33" s="909"/>
      <c r="S33" s="909"/>
      <c r="T33" s="910"/>
      <c r="U33" s="879" t="s">
        <v>1614</v>
      </c>
      <c r="V33" s="407"/>
      <c r="W33" s="407"/>
    </row>
    <row r="34" spans="1:23" s="260" customFormat="1" ht="150" customHeight="1" x14ac:dyDescent="0.3">
      <c r="A34" s="263">
        <v>28</v>
      </c>
      <c r="B34" s="264">
        <v>49405</v>
      </c>
      <c r="C34" s="265" t="s">
        <v>1451</v>
      </c>
      <c r="D34" s="413" t="s">
        <v>1448</v>
      </c>
      <c r="E34" s="258" t="s">
        <v>1529</v>
      </c>
      <c r="F34" s="261"/>
      <c r="G34" s="262">
        <v>25600</v>
      </c>
      <c r="H34" s="258" t="s">
        <v>1528</v>
      </c>
      <c r="I34" s="705"/>
      <c r="J34" s="706"/>
      <c r="K34" s="707"/>
      <c r="L34" s="855"/>
      <c r="M34" s="479"/>
      <c r="N34" s="709"/>
      <c r="O34" s="709">
        <v>25600</v>
      </c>
      <c r="P34" s="709"/>
      <c r="Q34" s="908"/>
      <c r="R34" s="909"/>
      <c r="S34" s="909"/>
      <c r="T34" s="910"/>
      <c r="U34" s="952" t="s">
        <v>1613</v>
      </c>
      <c r="V34" s="407"/>
      <c r="W34" s="407"/>
    </row>
    <row r="35" spans="1:23" s="260" customFormat="1" ht="180" customHeight="1" x14ac:dyDescent="0.3">
      <c r="A35" s="263">
        <v>29</v>
      </c>
      <c r="B35" s="264">
        <v>49405</v>
      </c>
      <c r="C35" s="265" t="s">
        <v>1451</v>
      </c>
      <c r="D35" s="404" t="s">
        <v>1449</v>
      </c>
      <c r="E35" s="322" t="s">
        <v>1452</v>
      </c>
      <c r="F35" s="261"/>
      <c r="G35" s="262">
        <v>10000</v>
      </c>
      <c r="H35" s="850" t="s">
        <v>1450</v>
      </c>
      <c r="I35" s="705"/>
      <c r="J35" s="706"/>
      <c r="K35" s="707"/>
      <c r="L35" s="855"/>
      <c r="M35" s="479"/>
      <c r="N35" s="709"/>
      <c r="O35" s="709">
        <v>10000</v>
      </c>
      <c r="P35" s="709"/>
      <c r="Q35" s="908"/>
      <c r="R35" s="909"/>
      <c r="S35" s="909"/>
      <c r="T35" s="910"/>
      <c r="U35" s="953"/>
      <c r="V35" s="407"/>
      <c r="W35" s="407"/>
    </row>
    <row r="36" spans="1:23" ht="174.9" customHeight="1" x14ac:dyDescent="0.3">
      <c r="A36" s="263">
        <v>30</v>
      </c>
      <c r="B36" s="323">
        <v>61005</v>
      </c>
      <c r="C36" s="324">
        <v>52500</v>
      </c>
      <c r="D36" s="750" t="s">
        <v>1361</v>
      </c>
      <c r="E36" s="258" t="s">
        <v>1493</v>
      </c>
      <c r="F36" s="261"/>
      <c r="G36" s="156">
        <v>11200</v>
      </c>
      <c r="H36" s="258" t="s">
        <v>1574</v>
      </c>
      <c r="I36" s="705"/>
      <c r="J36" s="706"/>
      <c r="K36" s="707"/>
      <c r="L36" s="708">
        <v>11200</v>
      </c>
      <c r="M36" s="479"/>
      <c r="N36" s="709"/>
      <c r="O36" s="709"/>
      <c r="P36" s="709">
        <v>11200</v>
      </c>
      <c r="Q36" s="500">
        <v>44634</v>
      </c>
      <c r="R36" s="523" t="s">
        <v>1633</v>
      </c>
      <c r="S36" s="523" t="s">
        <v>1640</v>
      </c>
      <c r="T36" s="487" t="s">
        <v>1620</v>
      </c>
      <c r="U36" s="489"/>
    </row>
    <row r="37" spans="1:23" s="260" customFormat="1" ht="82.8" x14ac:dyDescent="0.3">
      <c r="A37" s="263">
        <v>31</v>
      </c>
      <c r="B37" s="320">
        <v>61005</v>
      </c>
      <c r="C37" s="321">
        <v>53045</v>
      </c>
      <c r="D37" s="751" t="s">
        <v>1362</v>
      </c>
      <c r="E37" s="258" t="s">
        <v>1494</v>
      </c>
      <c r="F37" s="261"/>
      <c r="G37" s="262">
        <v>312</v>
      </c>
      <c r="H37" s="258" t="s">
        <v>1403</v>
      </c>
      <c r="I37" s="705"/>
      <c r="J37" s="706">
        <v>312</v>
      </c>
      <c r="K37" s="707"/>
      <c r="L37" s="708"/>
      <c r="M37" s="479"/>
      <c r="N37" s="709"/>
      <c r="O37" s="709"/>
      <c r="P37" s="709">
        <v>312</v>
      </c>
      <c r="Q37" s="500">
        <v>44634</v>
      </c>
      <c r="R37" s="523" t="s">
        <v>1633</v>
      </c>
      <c r="S37" s="523" t="s">
        <v>1634</v>
      </c>
      <c r="T37" s="487" t="s">
        <v>1620</v>
      </c>
      <c r="U37" s="489"/>
      <c r="V37" s="407"/>
      <c r="W37" s="407"/>
    </row>
    <row r="38" spans="1:23" s="260" customFormat="1" ht="60" customHeight="1" x14ac:dyDescent="0.3">
      <c r="A38" s="263">
        <v>32</v>
      </c>
      <c r="B38" s="320">
        <v>61005</v>
      </c>
      <c r="C38" s="321">
        <v>53800</v>
      </c>
      <c r="D38" s="750" t="s">
        <v>1363</v>
      </c>
      <c r="E38" s="258" t="s">
        <v>1495</v>
      </c>
      <c r="F38" s="261"/>
      <c r="G38" s="262">
        <v>464</v>
      </c>
      <c r="H38" s="258" t="s">
        <v>1364</v>
      </c>
      <c r="I38" s="705"/>
      <c r="J38" s="706">
        <v>464</v>
      </c>
      <c r="K38" s="707"/>
      <c r="L38" s="708"/>
      <c r="M38" s="479"/>
      <c r="N38" s="709"/>
      <c r="O38" s="709"/>
      <c r="P38" s="709">
        <v>464</v>
      </c>
      <c r="Q38" s="500">
        <v>44634</v>
      </c>
      <c r="R38" s="523" t="s">
        <v>1633</v>
      </c>
      <c r="S38" s="523" t="s">
        <v>1634</v>
      </c>
      <c r="T38" s="487" t="s">
        <v>1620</v>
      </c>
      <c r="U38" s="489"/>
      <c r="V38" s="407"/>
      <c r="W38" s="407"/>
    </row>
    <row r="39" spans="1:23" s="260" customFormat="1" x14ac:dyDescent="0.3">
      <c r="A39" s="153"/>
      <c r="B39" s="153"/>
      <c r="C39" s="153"/>
      <c r="D39" s="151"/>
      <c r="E39" s="337" t="s">
        <v>1042</v>
      </c>
      <c r="F39" s="335">
        <f>SUM(F33:F38,F6:F31)</f>
        <v>75000</v>
      </c>
      <c r="G39" s="335">
        <f>SUM(G33:G38,G6:G31)</f>
        <v>399937</v>
      </c>
      <c r="I39" s="507">
        <f>SUM(I6:I38)</f>
        <v>58100</v>
      </c>
      <c r="J39" s="508">
        <f>SUM(J6:J38)</f>
        <v>20686</v>
      </c>
      <c r="K39" s="509">
        <f>SUM(K6:K38)</f>
        <v>43157</v>
      </c>
      <c r="L39" s="510">
        <f>SUM(L6:L38)</f>
        <v>194009</v>
      </c>
      <c r="M39" s="480"/>
      <c r="N39" s="506">
        <f>SUM(N6:N38)</f>
        <v>0</v>
      </c>
      <c r="O39" s="506">
        <f>SUM(O6:O38)</f>
        <v>267816</v>
      </c>
      <c r="P39" s="506">
        <f>SUM(P6:P38)</f>
        <v>207121</v>
      </c>
      <c r="Q39" s="506"/>
      <c r="R39" s="385"/>
      <c r="S39" s="385"/>
      <c r="T39" s="386"/>
      <c r="U39" s="225"/>
      <c r="V39" s="407"/>
      <c r="W39" s="407"/>
    </row>
    <row r="40" spans="1:23" s="418" customFormat="1" x14ac:dyDescent="0.3">
      <c r="B40" s="153"/>
      <c r="C40" s="153"/>
      <c r="D40" s="417"/>
      <c r="E40" s="881" t="s">
        <v>1618</v>
      </c>
      <c r="G40" s="154">
        <f>SUM(F39:G39)</f>
        <v>474937</v>
      </c>
      <c r="I40" s="419"/>
      <c r="J40" s="419"/>
      <c r="K40" s="419"/>
      <c r="L40" s="228">
        <f>SUM(I39:L39)</f>
        <v>315952</v>
      </c>
      <c r="M40" s="481"/>
      <c r="N40" s="420"/>
      <c r="O40" s="506"/>
      <c r="P40" s="506">
        <f>SUM(N39:P39)</f>
        <v>474937</v>
      </c>
      <c r="Q40" s="502"/>
      <c r="R40" s="420"/>
      <c r="S40" s="420"/>
      <c r="T40" s="506"/>
      <c r="U40" s="421"/>
      <c r="V40" s="408"/>
      <c r="W40" s="408"/>
    </row>
    <row r="41" spans="1:23" s="418" customFormat="1" x14ac:dyDescent="0.3">
      <c r="B41" s="153"/>
      <c r="C41" s="153"/>
      <c r="D41" s="417"/>
      <c r="E41" s="417"/>
      <c r="F41" s="154"/>
      <c r="G41" s="154"/>
      <c r="I41" s="419"/>
      <c r="J41" s="419"/>
      <c r="K41" s="419"/>
      <c r="L41" s="228"/>
      <c r="M41" s="481"/>
      <c r="N41" s="420"/>
      <c r="O41" s="877" t="s">
        <v>1617</v>
      </c>
      <c r="P41" s="878">
        <f>G40-P40</f>
        <v>0</v>
      </c>
      <c r="Q41" s="506"/>
      <c r="R41" s="506"/>
      <c r="S41" s="506"/>
      <c r="T41" s="506"/>
      <c r="U41" s="506">
        <f>S41-T41</f>
        <v>0</v>
      </c>
      <c r="V41" s="408"/>
      <c r="W41" s="408"/>
    </row>
    <row r="42" spans="1:23" s="260" customFormat="1" x14ac:dyDescent="0.3">
      <c r="A42" s="329" t="s">
        <v>1498</v>
      </c>
      <c r="B42" s="153"/>
      <c r="C42" s="153"/>
      <c r="D42" s="151"/>
      <c r="E42" s="151"/>
      <c r="F42" s="154"/>
      <c r="G42" s="154"/>
      <c r="M42" s="482"/>
      <c r="N42" s="387"/>
      <c r="O42" s="387"/>
      <c r="P42" s="387"/>
      <c r="Q42" s="501"/>
      <c r="R42" s="387"/>
      <c r="S42" s="387"/>
      <c r="T42" s="386"/>
      <c r="U42" s="225"/>
      <c r="V42" s="407"/>
      <c r="W42" s="407"/>
    </row>
    <row r="43" spans="1:23" s="260" customFormat="1" ht="39.9" customHeight="1" x14ac:dyDescent="0.3">
      <c r="A43" s="263">
        <v>1</v>
      </c>
      <c r="B43" s="320">
        <v>71005</v>
      </c>
      <c r="C43" s="321" t="s">
        <v>1344</v>
      </c>
      <c r="D43" s="404" t="s">
        <v>1342</v>
      </c>
      <c r="E43" s="941" t="s">
        <v>1459</v>
      </c>
      <c r="F43" s="261"/>
      <c r="G43" s="330">
        <v>-185000</v>
      </c>
      <c r="H43" s="938" t="s">
        <v>1463</v>
      </c>
      <c r="I43" s="705">
        <v>-185000</v>
      </c>
      <c r="J43" s="252"/>
      <c r="K43" s="252"/>
      <c r="L43" s="252"/>
      <c r="M43" s="483"/>
      <c r="N43" s="490"/>
      <c r="O43" s="506"/>
      <c r="P43" s="490"/>
      <c r="Q43" s="503"/>
      <c r="R43" s="490"/>
      <c r="S43" s="490"/>
      <c r="T43" s="491"/>
      <c r="U43" s="492"/>
      <c r="V43" s="407"/>
      <c r="W43" s="407"/>
    </row>
    <row r="44" spans="1:23" s="260" customFormat="1" ht="39.9" customHeight="1" x14ac:dyDescent="0.3">
      <c r="A44" s="263">
        <v>2</v>
      </c>
      <c r="B44" s="320">
        <v>71005</v>
      </c>
      <c r="C44" s="321" t="s">
        <v>1345</v>
      </c>
      <c r="D44" s="404" t="s">
        <v>1343</v>
      </c>
      <c r="E44" s="942"/>
      <c r="F44" s="261"/>
      <c r="G44" s="330">
        <v>-30200</v>
      </c>
      <c r="H44" s="939"/>
      <c r="I44" s="705">
        <v>-30200</v>
      </c>
      <c r="J44" s="252"/>
      <c r="K44" s="252"/>
      <c r="L44" s="252"/>
      <c r="M44" s="483"/>
      <c r="N44" s="490"/>
      <c r="O44" s="506"/>
      <c r="P44" s="490"/>
      <c r="Q44" s="503"/>
      <c r="R44" s="490"/>
      <c r="S44" s="490"/>
      <c r="T44" s="491"/>
      <c r="U44" s="492"/>
      <c r="V44" s="407"/>
      <c r="W44" s="407"/>
    </row>
    <row r="45" spans="1:23" s="260" customFormat="1" ht="39.9" customHeight="1" x14ac:dyDescent="0.3">
      <c r="A45" s="263">
        <v>3</v>
      </c>
      <c r="B45" s="320">
        <v>75105</v>
      </c>
      <c r="C45" s="321" t="s">
        <v>1346</v>
      </c>
      <c r="D45" s="404" t="s">
        <v>1347</v>
      </c>
      <c r="E45" s="943"/>
      <c r="F45" s="261"/>
      <c r="G45" s="330">
        <v>0</v>
      </c>
      <c r="H45" s="940"/>
      <c r="I45" s="705">
        <v>0</v>
      </c>
      <c r="J45" s="252"/>
      <c r="K45" s="252"/>
      <c r="L45" s="252"/>
      <c r="M45" s="483"/>
      <c r="N45" s="490"/>
      <c r="O45" s="506"/>
      <c r="P45" s="490"/>
      <c r="Q45" s="503"/>
      <c r="R45" s="490"/>
      <c r="S45" s="490"/>
      <c r="T45" s="491"/>
      <c r="U45" s="492"/>
      <c r="V45" s="407"/>
      <c r="W45" s="407"/>
    </row>
    <row r="46" spans="1:23" ht="105.9" customHeight="1" x14ac:dyDescent="0.3">
      <c r="A46" s="263">
        <v>4</v>
      </c>
      <c r="B46" s="320">
        <v>91005</v>
      </c>
      <c r="C46" s="321">
        <v>51700</v>
      </c>
      <c r="D46" s="404" t="s">
        <v>1348</v>
      </c>
      <c r="E46" s="415" t="s">
        <v>1464</v>
      </c>
      <c r="F46" s="155"/>
      <c r="G46" s="330">
        <v>115113</v>
      </c>
      <c r="H46" s="258" t="s">
        <v>1465</v>
      </c>
      <c r="I46" s="705">
        <v>115113</v>
      </c>
      <c r="J46" s="252"/>
      <c r="K46" s="252"/>
      <c r="L46" s="252"/>
      <c r="M46" s="483"/>
      <c r="N46" s="490"/>
      <c r="O46" s="506"/>
      <c r="P46" s="490"/>
      <c r="Q46" s="503"/>
      <c r="R46" s="490"/>
      <c r="S46" s="490"/>
      <c r="T46" s="491"/>
      <c r="U46" s="492"/>
      <c r="W46" s="410"/>
    </row>
    <row r="47" spans="1:23" s="260" customFormat="1" ht="55.2" x14ac:dyDescent="0.3">
      <c r="A47" s="208">
        <v>5</v>
      </c>
      <c r="B47" s="320">
        <v>91505</v>
      </c>
      <c r="C47" s="321">
        <v>51730</v>
      </c>
      <c r="D47" s="404" t="s">
        <v>1349</v>
      </c>
      <c r="E47" s="803" t="s">
        <v>1461</v>
      </c>
      <c r="F47" s="261"/>
      <c r="G47" s="866">
        <v>80000</v>
      </c>
      <c r="H47" s="258" t="s">
        <v>1359</v>
      </c>
      <c r="I47" s="860">
        <v>80000</v>
      </c>
      <c r="J47" s="252"/>
      <c r="K47" s="252"/>
      <c r="L47" s="252"/>
      <c r="M47" s="483"/>
      <c r="O47" s="506"/>
      <c r="P47" s="490"/>
      <c r="Q47" s="503"/>
      <c r="R47" s="490"/>
      <c r="S47" s="490"/>
      <c r="T47" s="491"/>
      <c r="U47" s="880" t="s">
        <v>1597</v>
      </c>
      <c r="V47" s="407"/>
      <c r="W47" s="410"/>
    </row>
    <row r="48" spans="1:23" ht="69" x14ac:dyDescent="0.3">
      <c r="A48" s="263">
        <v>6</v>
      </c>
      <c r="B48" s="320">
        <v>91505</v>
      </c>
      <c r="C48" s="321">
        <v>51740</v>
      </c>
      <c r="D48" s="404" t="s">
        <v>1350</v>
      </c>
      <c r="E48" s="415" t="s">
        <v>1550</v>
      </c>
      <c r="F48" s="281"/>
      <c r="G48" s="330">
        <v>-350</v>
      </c>
      <c r="H48" s="412" t="s">
        <v>1571</v>
      </c>
      <c r="I48" s="705">
        <v>-350</v>
      </c>
      <c r="J48" s="252"/>
      <c r="K48" s="252"/>
      <c r="L48" s="252"/>
      <c r="M48" s="483"/>
      <c r="N48" s="490"/>
      <c r="O48" s="506"/>
      <c r="P48" s="490"/>
      <c r="Q48" s="503"/>
      <c r="R48" s="490"/>
      <c r="S48" s="490"/>
      <c r="T48" s="491"/>
      <c r="U48" s="492"/>
      <c r="V48" s="409"/>
      <c r="W48" s="410"/>
    </row>
    <row r="49" spans="1:23" ht="39.9" customHeight="1" x14ac:dyDescent="0.3">
      <c r="A49" s="263">
        <v>7</v>
      </c>
      <c r="B49" s="320">
        <v>91505</v>
      </c>
      <c r="C49" s="321">
        <v>51750</v>
      </c>
      <c r="D49" s="404" t="s">
        <v>1351</v>
      </c>
      <c r="E49" s="820" t="s">
        <v>1462</v>
      </c>
      <c r="F49" s="261"/>
      <c r="G49" s="330">
        <v>0</v>
      </c>
      <c r="H49" s="258" t="s">
        <v>1549</v>
      </c>
      <c r="I49" s="705">
        <v>0</v>
      </c>
      <c r="J49" s="252"/>
      <c r="K49" s="252"/>
      <c r="L49" s="252" t="s">
        <v>900</v>
      </c>
      <c r="M49" s="483"/>
      <c r="N49" s="493"/>
      <c r="O49" s="506"/>
      <c r="P49" s="490"/>
      <c r="Q49" s="503"/>
      <c r="R49" s="490"/>
      <c r="S49" s="490"/>
      <c r="T49" s="491"/>
      <c r="U49" s="494"/>
      <c r="W49" s="410"/>
    </row>
    <row r="50" spans="1:23" s="260" customFormat="1" ht="124.2" x14ac:dyDescent="0.3">
      <c r="A50" s="263">
        <v>8</v>
      </c>
      <c r="B50" s="320">
        <v>91505</v>
      </c>
      <c r="C50" s="321">
        <v>51770</v>
      </c>
      <c r="D50" s="404" t="s">
        <v>1352</v>
      </c>
      <c r="E50" s="415" t="s">
        <v>1583</v>
      </c>
      <c r="F50" s="261"/>
      <c r="G50" s="330">
        <v>350</v>
      </c>
      <c r="H50" s="258" t="s">
        <v>1560</v>
      </c>
      <c r="I50" s="705">
        <v>350</v>
      </c>
      <c r="J50" s="252"/>
      <c r="K50" s="252"/>
      <c r="L50" s="252"/>
      <c r="M50" s="483"/>
      <c r="N50" s="493"/>
      <c r="O50" s="506"/>
      <c r="P50" s="490"/>
      <c r="Q50" s="503"/>
      <c r="R50" s="490"/>
      <c r="S50" s="490"/>
      <c r="T50" s="491"/>
      <c r="U50" s="494"/>
      <c r="V50" s="407"/>
      <c r="W50" s="410"/>
    </row>
    <row r="51" spans="1:23" s="260" customFormat="1" ht="96.6" x14ac:dyDescent="0.3">
      <c r="A51" s="263">
        <v>9</v>
      </c>
      <c r="B51" s="320">
        <v>91505</v>
      </c>
      <c r="C51" s="321">
        <v>51771</v>
      </c>
      <c r="D51" s="404" t="s">
        <v>1353</v>
      </c>
      <c r="E51" s="415" t="s">
        <v>1584</v>
      </c>
      <c r="F51" s="261"/>
      <c r="G51" s="330">
        <v>0</v>
      </c>
      <c r="H51" s="258" t="s">
        <v>1561</v>
      </c>
      <c r="I51" s="705">
        <v>0</v>
      </c>
      <c r="J51" s="252"/>
      <c r="K51" s="252"/>
      <c r="L51" s="252"/>
      <c r="M51" s="483"/>
      <c r="N51" s="493"/>
      <c r="O51" s="506">
        <v>2000</v>
      </c>
      <c r="P51" s="490"/>
      <c r="Q51" s="503"/>
      <c r="R51" s="490"/>
      <c r="S51" s="490"/>
      <c r="T51" s="491"/>
      <c r="U51" s="494"/>
      <c r="V51" s="407"/>
      <c r="W51" s="410"/>
    </row>
    <row r="52" spans="1:23" s="260" customFormat="1" ht="80.099999999999994" customHeight="1" x14ac:dyDescent="0.3">
      <c r="A52" s="263">
        <v>10</v>
      </c>
      <c r="B52" s="320">
        <v>91605</v>
      </c>
      <c r="C52" s="321">
        <v>51720</v>
      </c>
      <c r="D52" s="404" t="s">
        <v>1354</v>
      </c>
      <c r="E52" s="415" t="s">
        <v>1474</v>
      </c>
      <c r="F52" s="261"/>
      <c r="G52" s="330">
        <v>4000</v>
      </c>
      <c r="H52" s="938" t="s">
        <v>1501</v>
      </c>
      <c r="I52" s="705">
        <v>4000</v>
      </c>
      <c r="J52" s="252"/>
      <c r="K52" s="252"/>
      <c r="L52" s="252"/>
      <c r="M52" s="483"/>
      <c r="N52" s="493"/>
      <c r="O52" s="506"/>
      <c r="P52" s="490"/>
      <c r="Q52" s="503"/>
      <c r="R52" s="490"/>
      <c r="S52" s="490"/>
      <c r="T52" s="491"/>
      <c r="U52" s="494"/>
      <c r="V52" s="407"/>
      <c r="W52" s="410"/>
    </row>
    <row r="53" spans="1:23" s="260" customFormat="1" ht="80.099999999999994" customHeight="1" x14ac:dyDescent="0.3">
      <c r="A53" s="263">
        <v>11</v>
      </c>
      <c r="B53" s="320">
        <v>91605</v>
      </c>
      <c r="C53" s="321">
        <v>57400</v>
      </c>
      <c r="D53" s="404" t="s">
        <v>1357</v>
      </c>
      <c r="E53" s="415" t="s">
        <v>1499</v>
      </c>
      <c r="F53" s="261"/>
      <c r="G53" s="330">
        <v>-76512</v>
      </c>
      <c r="H53" s="939"/>
      <c r="I53" s="705">
        <v>-76512</v>
      </c>
      <c r="J53" s="252"/>
      <c r="K53" s="252"/>
      <c r="L53" s="252"/>
      <c r="M53" s="483"/>
      <c r="N53" s="493"/>
      <c r="O53" s="506"/>
      <c r="P53" s="490"/>
      <c r="Q53" s="503"/>
      <c r="R53" s="490"/>
      <c r="S53" s="490"/>
      <c r="T53" s="491"/>
      <c r="U53" s="494"/>
      <c r="V53" s="407"/>
      <c r="W53" s="410"/>
    </row>
    <row r="54" spans="1:23" s="260" customFormat="1" ht="28.8" x14ac:dyDescent="0.3">
      <c r="A54" s="263">
        <v>12</v>
      </c>
      <c r="B54" s="320">
        <v>91605</v>
      </c>
      <c r="C54" s="321">
        <v>57430</v>
      </c>
      <c r="D54" s="404" t="s">
        <v>1356</v>
      </c>
      <c r="E54" s="415" t="s">
        <v>1500</v>
      </c>
      <c r="F54" s="261"/>
      <c r="G54" s="330">
        <v>10900</v>
      </c>
      <c r="H54" s="939"/>
      <c r="I54" s="705">
        <v>10900</v>
      </c>
      <c r="J54" s="252"/>
      <c r="K54" s="252"/>
      <c r="L54" s="252"/>
      <c r="M54" s="483"/>
      <c r="N54" s="493"/>
      <c r="O54" s="506"/>
      <c r="P54" s="490"/>
      <c r="Q54" s="503"/>
      <c r="R54" s="490"/>
      <c r="S54" s="490"/>
      <c r="T54" s="491"/>
      <c r="U54" s="494"/>
      <c r="V54" s="407"/>
      <c r="W54" s="410"/>
    </row>
    <row r="55" spans="1:23" s="260" customFormat="1" ht="69.900000000000006" customHeight="1" x14ac:dyDescent="0.3">
      <c r="A55" s="263">
        <v>13</v>
      </c>
      <c r="B55" s="320">
        <v>91605</v>
      </c>
      <c r="C55" s="321">
        <v>57440</v>
      </c>
      <c r="D55" s="404" t="s">
        <v>1355</v>
      </c>
      <c r="E55" s="824" t="s">
        <v>1497</v>
      </c>
      <c r="F55" s="261"/>
      <c r="G55" s="330">
        <v>500</v>
      </c>
      <c r="H55" s="940"/>
      <c r="I55" s="705">
        <v>500</v>
      </c>
      <c r="J55" s="252"/>
      <c r="K55" s="252"/>
      <c r="L55" s="252"/>
      <c r="M55" s="483"/>
      <c r="N55" s="493"/>
      <c r="O55" s="506"/>
      <c r="P55" s="490"/>
      <c r="Q55" s="503"/>
      <c r="R55" s="490"/>
      <c r="S55" s="490"/>
      <c r="T55" s="491"/>
      <c r="U55" s="494"/>
      <c r="V55" s="407"/>
      <c r="W55" s="410"/>
    </row>
    <row r="56" spans="1:23" s="260" customFormat="1" ht="82.8" x14ac:dyDescent="0.3">
      <c r="A56" s="263">
        <v>14</v>
      </c>
      <c r="B56" s="320">
        <v>91605</v>
      </c>
      <c r="C56" s="321">
        <v>57440</v>
      </c>
      <c r="D56" s="404" t="s">
        <v>1460</v>
      </c>
      <c r="E56" s="804" t="s">
        <v>1507</v>
      </c>
      <c r="F56" s="261"/>
      <c r="G56" s="330">
        <v>-50000</v>
      </c>
      <c r="H56" s="258"/>
      <c r="I56" s="705">
        <v>-50000</v>
      </c>
      <c r="J56" s="252"/>
      <c r="K56" s="252"/>
      <c r="L56" s="252"/>
      <c r="M56" s="483"/>
      <c r="N56" s="493"/>
      <c r="O56" s="506"/>
      <c r="P56" s="490"/>
      <c r="Q56" s="503"/>
      <c r="R56" s="490"/>
      <c r="S56" s="490"/>
      <c r="T56" s="491"/>
      <c r="U56" s="494"/>
      <c r="V56" s="407"/>
      <c r="W56" s="410"/>
    </row>
    <row r="57" spans="1:23" s="260" customFormat="1" ht="96.6" x14ac:dyDescent="0.3">
      <c r="A57" s="263">
        <v>15</v>
      </c>
      <c r="B57" s="320">
        <v>99200</v>
      </c>
      <c r="C57" s="321">
        <v>59601</v>
      </c>
      <c r="D57" s="413" t="s">
        <v>1555</v>
      </c>
      <c r="E57" s="849" t="s">
        <v>1559</v>
      </c>
      <c r="F57" s="261"/>
      <c r="G57" s="330"/>
      <c r="H57" s="258" t="s">
        <v>1551</v>
      </c>
      <c r="I57" s="705"/>
      <c r="J57" s="252"/>
      <c r="K57" s="252"/>
      <c r="L57" s="252"/>
      <c r="M57" s="483"/>
      <c r="N57" s="493"/>
      <c r="O57" s="506"/>
      <c r="P57" s="490"/>
      <c r="Q57" s="503"/>
      <c r="R57" s="490"/>
      <c r="S57" s="490"/>
      <c r="T57" s="491"/>
      <c r="U57" s="494"/>
      <c r="V57" s="407"/>
      <c r="W57" s="410"/>
    </row>
    <row r="58" spans="1:23" s="260" customFormat="1" ht="110.4" x14ac:dyDescent="0.3">
      <c r="A58" s="263">
        <v>16</v>
      </c>
      <c r="B58" s="320">
        <v>99200</v>
      </c>
      <c r="C58" s="321">
        <v>59602</v>
      </c>
      <c r="D58" s="413" t="s">
        <v>1556</v>
      </c>
      <c r="E58" s="849" t="s">
        <v>1554</v>
      </c>
      <c r="F58" s="261"/>
      <c r="G58" s="330"/>
      <c r="H58" s="258" t="s">
        <v>1552</v>
      </c>
      <c r="I58" s="705"/>
      <c r="J58" s="252"/>
      <c r="K58" s="252"/>
      <c r="L58" s="252"/>
      <c r="M58" s="483"/>
      <c r="N58" s="493"/>
      <c r="O58" s="506"/>
      <c r="P58" s="490"/>
      <c r="Q58" s="503"/>
      <c r="R58" s="490"/>
      <c r="S58" s="490"/>
      <c r="T58" s="491"/>
      <c r="U58" s="494"/>
      <c r="V58" s="407"/>
      <c r="W58" s="410"/>
    </row>
    <row r="59" spans="1:23" s="260" customFormat="1" ht="82.8" x14ac:dyDescent="0.3">
      <c r="A59" s="263">
        <v>17</v>
      </c>
      <c r="B59" s="320">
        <v>99200</v>
      </c>
      <c r="C59" s="321">
        <v>59603</v>
      </c>
      <c r="D59" s="404" t="s">
        <v>1557</v>
      </c>
      <c r="E59" s="849" t="s">
        <v>1558</v>
      </c>
      <c r="F59" s="261"/>
      <c r="G59" s="330"/>
      <c r="H59" s="258" t="s">
        <v>1553</v>
      </c>
      <c r="I59" s="705"/>
      <c r="J59" s="252"/>
      <c r="K59" s="252"/>
      <c r="L59" s="252"/>
      <c r="M59" s="483"/>
      <c r="N59" s="493"/>
      <c r="O59" s="506"/>
      <c r="P59" s="490"/>
      <c r="Q59" s="503"/>
      <c r="R59" s="490"/>
      <c r="S59" s="490"/>
      <c r="T59" s="491"/>
      <c r="U59" s="494"/>
      <c r="V59" s="407"/>
      <c r="W59" s="410"/>
    </row>
    <row r="60" spans="1:23" s="260" customFormat="1" ht="12" customHeight="1" x14ac:dyDescent="0.3">
      <c r="A60" s="153"/>
      <c r="B60" s="153"/>
      <c r="C60" s="153"/>
      <c r="D60" s="151"/>
      <c r="E60" s="337" t="s">
        <v>1042</v>
      </c>
      <c r="F60" s="154"/>
      <c r="G60" s="335">
        <f>SUM(G43:G59)</f>
        <v>-131199</v>
      </c>
      <c r="I60" s="507">
        <f>SUM(I43:I59)</f>
        <v>-131199</v>
      </c>
      <c r="J60" s="508"/>
      <c r="K60" s="509"/>
      <c r="L60" s="510"/>
      <c r="M60" s="480"/>
      <c r="N60" s="495"/>
      <c r="O60" s="495"/>
      <c r="P60" s="495"/>
      <c r="Q60" s="504"/>
      <c r="R60" s="495"/>
      <c r="S60" s="495"/>
      <c r="T60" s="496"/>
      <c r="U60" s="497"/>
      <c r="V60" s="407"/>
      <c r="W60" s="407"/>
    </row>
    <row r="61" spans="1:23" s="260" customFormat="1" ht="12" customHeight="1" x14ac:dyDescent="0.3">
      <c r="A61" s="254"/>
      <c r="B61" s="153"/>
      <c r="C61" s="153"/>
      <c r="D61" s="151"/>
      <c r="E61" s="337"/>
      <c r="F61" s="154"/>
      <c r="G61" s="335"/>
      <c r="I61" s="507"/>
      <c r="J61" s="508"/>
      <c r="K61" s="509"/>
      <c r="L61" s="510"/>
      <c r="M61" s="480"/>
      <c r="N61" s="495"/>
      <c r="O61" s="495"/>
      <c r="P61" s="495"/>
      <c r="Q61" s="504"/>
      <c r="R61" s="495"/>
      <c r="S61" s="495"/>
      <c r="T61" s="496"/>
      <c r="U61" s="497"/>
      <c r="V61" s="407"/>
      <c r="W61" s="407"/>
    </row>
    <row r="62" spans="1:23" s="256" customFormat="1" ht="12" customHeight="1" thickBot="1" x14ac:dyDescent="0.35">
      <c r="A62" s="153"/>
      <c r="B62" s="40"/>
      <c r="C62" s="40"/>
      <c r="D62" s="255"/>
      <c r="E62" s="345" t="s">
        <v>1041</v>
      </c>
      <c r="F62" s="346">
        <f>SUM(F60+F39)</f>
        <v>75000</v>
      </c>
      <c r="G62" s="346">
        <f>G60+G39</f>
        <v>268738</v>
      </c>
      <c r="H62" s="347"/>
      <c r="I62" s="511">
        <f>I39+SUM(I59:I60)</f>
        <v>-73099</v>
      </c>
      <c r="J62" s="512">
        <f>J39+J60</f>
        <v>20686</v>
      </c>
      <c r="K62" s="513">
        <f>K39+K60</f>
        <v>43157</v>
      </c>
      <c r="L62" s="514">
        <f>L39+L60</f>
        <v>194009</v>
      </c>
      <c r="M62" s="484"/>
      <c r="N62" s="498"/>
      <c r="O62" s="498"/>
      <c r="P62" s="498"/>
      <c r="Q62" s="505"/>
      <c r="R62" s="498"/>
      <c r="S62" s="498"/>
      <c r="T62" s="499"/>
      <c r="U62" s="494"/>
      <c r="V62" s="407"/>
      <c r="W62" s="407"/>
    </row>
    <row r="63" spans="1:23" s="256" customFormat="1" ht="3.9" customHeight="1" thickTop="1" x14ac:dyDescent="0.3">
      <c r="A63" s="153"/>
      <c r="B63" s="40"/>
      <c r="C63" s="40"/>
      <c r="D63" s="255"/>
      <c r="E63" s="422"/>
      <c r="F63" s="423"/>
      <c r="G63" s="423"/>
      <c r="H63" s="424"/>
      <c r="I63" s="515"/>
      <c r="J63" s="516"/>
      <c r="K63" s="517"/>
      <c r="L63" s="518"/>
      <c r="M63" s="484"/>
      <c r="N63" s="498"/>
      <c r="O63" s="498"/>
      <c r="P63" s="498"/>
      <c r="Q63" s="505"/>
      <c r="R63" s="498"/>
      <c r="S63" s="498"/>
      <c r="T63" s="499"/>
      <c r="U63" s="494"/>
      <c r="V63" s="407"/>
      <c r="W63" s="407"/>
    </row>
    <row r="64" spans="1:23" ht="12" customHeight="1" x14ac:dyDescent="0.3">
      <c r="I64" s="519">
        <f>SUM(I62)</f>
        <v>-73099</v>
      </c>
      <c r="J64" s="520"/>
      <c r="K64" s="521"/>
      <c r="L64" s="522">
        <f>SUM(J62:L62)</f>
        <v>257852</v>
      </c>
      <c r="M64" s="485"/>
      <c r="N64" s="495"/>
      <c r="O64" s="495"/>
      <c r="P64" s="495"/>
      <c r="Q64" s="504"/>
      <c r="R64" s="495"/>
      <c r="S64" s="495"/>
      <c r="T64" s="496"/>
      <c r="U64" s="497"/>
    </row>
    <row r="65" spans="1:23" s="256" customFormat="1" ht="3.9" customHeight="1" x14ac:dyDescent="0.3">
      <c r="A65" s="153"/>
      <c r="B65" s="40"/>
      <c r="C65" s="40"/>
      <c r="D65" s="255"/>
      <c r="E65" s="422"/>
      <c r="F65" s="423"/>
      <c r="G65" s="423"/>
      <c r="H65" s="424"/>
      <c r="I65" s="515"/>
      <c r="J65" s="516"/>
      <c r="K65" s="517"/>
      <c r="L65" s="518"/>
      <c r="M65" s="484"/>
      <c r="N65" s="498"/>
      <c r="O65" s="498"/>
      <c r="P65" s="498"/>
      <c r="Q65" s="505"/>
      <c r="R65" s="498"/>
      <c r="S65" s="498"/>
      <c r="T65" s="499"/>
      <c r="U65" s="494"/>
      <c r="V65" s="407"/>
      <c r="W65" s="407"/>
    </row>
    <row r="66" spans="1:23" ht="12" customHeight="1" x14ac:dyDescent="0.3">
      <c r="I66" s="964">
        <f>SUM(I64:L64)</f>
        <v>184753</v>
      </c>
      <c r="J66" s="964"/>
      <c r="K66" s="964"/>
      <c r="L66" s="964"/>
      <c r="M66" s="486"/>
      <c r="N66" s="495"/>
      <c r="O66" s="495"/>
      <c r="P66" s="495"/>
      <c r="Q66" s="504"/>
      <c r="R66" s="495"/>
      <c r="S66" s="495"/>
      <c r="T66" s="496"/>
      <c r="U66" s="497"/>
    </row>
    <row r="67" spans="1:23" x14ac:dyDescent="0.3">
      <c r="N67" s="495"/>
      <c r="O67" s="495"/>
      <c r="P67" s="495"/>
      <c r="Q67" s="504"/>
      <c r="R67" s="495"/>
      <c r="S67" s="495"/>
      <c r="T67" s="496"/>
      <c r="U67" s="497"/>
    </row>
    <row r="68" spans="1:23" x14ac:dyDescent="0.3">
      <c r="H68" s="260"/>
      <c r="N68" s="495"/>
      <c r="O68" s="495"/>
      <c r="P68" s="495"/>
      <c r="Q68" s="504"/>
      <c r="R68" s="495"/>
      <c r="S68" s="495"/>
      <c r="T68" s="496"/>
      <c r="U68" s="497"/>
    </row>
    <row r="69" spans="1:23" x14ac:dyDescent="0.3">
      <c r="N69" s="495"/>
      <c r="O69" s="495"/>
      <c r="P69" s="495"/>
      <c r="Q69" s="504"/>
      <c r="R69" s="495"/>
      <c r="S69" s="495"/>
      <c r="T69" s="496"/>
      <c r="U69" s="497"/>
    </row>
    <row r="70" spans="1:23" x14ac:dyDescent="0.3">
      <c r="N70" s="495"/>
      <c r="O70" s="495"/>
      <c r="P70" s="495"/>
      <c r="Q70" s="504"/>
      <c r="R70" s="495"/>
      <c r="S70" s="495"/>
      <c r="T70" s="496"/>
      <c r="U70" s="497"/>
    </row>
    <row r="71" spans="1:23" x14ac:dyDescent="0.3">
      <c r="N71" s="495"/>
      <c r="O71" s="495"/>
      <c r="P71" s="495"/>
      <c r="Q71" s="504"/>
      <c r="R71" s="495"/>
      <c r="S71" s="495"/>
      <c r="T71" s="496"/>
      <c r="U71" s="497"/>
    </row>
    <row r="72" spans="1:23" x14ac:dyDescent="0.3">
      <c r="N72" s="495"/>
      <c r="O72" s="495"/>
      <c r="P72" s="495"/>
      <c r="Q72" s="504"/>
      <c r="R72" s="495"/>
      <c r="S72" s="495"/>
      <c r="T72" s="496"/>
      <c r="U72" s="497"/>
    </row>
    <row r="73" spans="1:23" x14ac:dyDescent="0.3">
      <c r="N73" s="495"/>
      <c r="O73" s="852"/>
      <c r="P73" s="495"/>
      <c r="Q73" s="504"/>
      <c r="R73" s="495"/>
      <c r="S73" s="495"/>
      <c r="T73" s="496"/>
      <c r="U73" s="497"/>
    </row>
    <row r="74" spans="1:23" x14ac:dyDescent="0.3">
      <c r="N74" s="495"/>
      <c r="O74" s="853"/>
      <c r="P74" s="495"/>
      <c r="Q74" s="504"/>
      <c r="R74" s="495"/>
      <c r="S74" s="495"/>
      <c r="T74" s="496"/>
      <c r="U74" s="497"/>
    </row>
    <row r="75" spans="1:23" x14ac:dyDescent="0.3">
      <c r="N75" s="495"/>
      <c r="O75" s="853"/>
      <c r="P75" s="495"/>
      <c r="Q75" s="504"/>
      <c r="R75" s="495"/>
      <c r="S75" s="495"/>
      <c r="T75" s="496"/>
      <c r="U75" s="497"/>
    </row>
    <row r="76" spans="1:23" x14ac:dyDescent="0.3">
      <c r="N76" s="495"/>
      <c r="O76" s="853"/>
      <c r="P76" s="495"/>
      <c r="Q76" s="504"/>
      <c r="R76" s="495"/>
      <c r="S76" s="495"/>
      <c r="T76" s="496"/>
      <c r="U76" s="497"/>
    </row>
    <row r="77" spans="1:23" x14ac:dyDescent="0.3">
      <c r="N77" s="495"/>
      <c r="O77" s="853"/>
      <c r="P77" s="495"/>
      <c r="Q77" s="504"/>
      <c r="R77" s="495"/>
      <c r="S77" s="495"/>
      <c r="T77" s="496"/>
      <c r="U77" s="497"/>
    </row>
    <row r="78" spans="1:23" x14ac:dyDescent="0.3">
      <c r="N78" s="495"/>
      <c r="O78" s="853"/>
      <c r="P78" s="495"/>
      <c r="Q78" s="504"/>
      <c r="R78" s="495"/>
      <c r="S78" s="495"/>
      <c r="T78" s="496"/>
      <c r="U78" s="497"/>
    </row>
    <row r="79" spans="1:23" x14ac:dyDescent="0.3">
      <c r="N79" s="495"/>
      <c r="O79" s="853"/>
      <c r="P79" s="495"/>
      <c r="Q79" s="504"/>
      <c r="R79" s="495"/>
      <c r="S79" s="495"/>
      <c r="T79" s="496"/>
      <c r="U79" s="497"/>
    </row>
    <row r="80" spans="1:23" x14ac:dyDescent="0.3">
      <c r="N80" s="495"/>
      <c r="O80" s="853"/>
      <c r="P80" s="495"/>
      <c r="Q80" s="504"/>
      <c r="R80" s="495"/>
      <c r="S80" s="495"/>
      <c r="T80" s="496"/>
      <c r="U80" s="497"/>
    </row>
    <row r="81" spans="14:21" x14ac:dyDescent="0.3">
      <c r="N81" s="495"/>
      <c r="O81" s="853"/>
      <c r="P81" s="495"/>
      <c r="Q81" s="504"/>
      <c r="R81" s="495"/>
      <c r="S81" s="495"/>
      <c r="T81" s="496"/>
      <c r="U81" s="497"/>
    </row>
    <row r="82" spans="14:21" x14ac:dyDescent="0.3">
      <c r="N82" s="495"/>
      <c r="O82" s="853"/>
      <c r="P82" s="495"/>
      <c r="Q82" s="504"/>
      <c r="R82" s="495"/>
      <c r="S82" s="495"/>
      <c r="T82" s="496"/>
      <c r="U82" s="497"/>
    </row>
    <row r="83" spans="14:21" x14ac:dyDescent="0.3">
      <c r="N83" s="495"/>
      <c r="O83" s="853"/>
      <c r="P83" s="495"/>
      <c r="Q83" s="504"/>
      <c r="R83" s="495"/>
      <c r="S83" s="495"/>
      <c r="T83" s="496"/>
      <c r="U83" s="497"/>
    </row>
    <row r="84" spans="14:21" x14ac:dyDescent="0.3">
      <c r="N84" s="495"/>
      <c r="O84" s="853"/>
      <c r="P84" s="495"/>
      <c r="Q84" s="504"/>
      <c r="R84" s="495"/>
      <c r="S84" s="495"/>
      <c r="T84" s="496"/>
      <c r="U84" s="497"/>
    </row>
    <row r="85" spans="14:21" x14ac:dyDescent="0.3">
      <c r="N85" s="495"/>
      <c r="O85" s="853"/>
      <c r="P85" s="495"/>
      <c r="Q85" s="504"/>
      <c r="R85" s="495"/>
      <c r="S85" s="495"/>
      <c r="T85" s="496"/>
      <c r="U85" s="497"/>
    </row>
    <row r="86" spans="14:21" x14ac:dyDescent="0.3">
      <c r="N86" s="495"/>
      <c r="O86" s="853"/>
      <c r="P86" s="495"/>
      <c r="Q86" s="504"/>
      <c r="R86" s="495"/>
      <c r="S86" s="495"/>
      <c r="T86" s="496"/>
      <c r="U86" s="497"/>
    </row>
    <row r="87" spans="14:21" x14ac:dyDescent="0.3">
      <c r="N87" s="495"/>
      <c r="O87" s="853"/>
      <c r="P87" s="495"/>
      <c r="Q87" s="504"/>
      <c r="R87" s="495"/>
      <c r="S87" s="495"/>
      <c r="T87" s="496"/>
      <c r="U87" s="497"/>
    </row>
    <row r="88" spans="14:21" x14ac:dyDescent="0.3">
      <c r="N88" s="495"/>
      <c r="O88" s="853"/>
      <c r="P88" s="495"/>
      <c r="Q88" s="504"/>
      <c r="R88" s="495"/>
      <c r="S88" s="495"/>
      <c r="T88" s="496"/>
      <c r="U88" s="497"/>
    </row>
    <row r="89" spans="14:21" x14ac:dyDescent="0.3">
      <c r="N89" s="495"/>
      <c r="O89" s="853"/>
      <c r="P89" s="495"/>
      <c r="Q89" s="504"/>
      <c r="R89" s="495"/>
      <c r="S89" s="495"/>
      <c r="T89" s="496"/>
      <c r="U89" s="497"/>
    </row>
    <row r="90" spans="14:21" x14ac:dyDescent="0.3">
      <c r="N90" s="495"/>
      <c r="O90" s="853"/>
      <c r="P90" s="495"/>
      <c r="Q90" s="504"/>
      <c r="R90" s="495"/>
      <c r="S90" s="495"/>
      <c r="T90" s="496"/>
      <c r="U90" s="497"/>
    </row>
    <row r="91" spans="14:21" x14ac:dyDescent="0.3">
      <c r="N91" s="495"/>
      <c r="O91" s="853"/>
      <c r="P91" s="495"/>
      <c r="Q91" s="504"/>
      <c r="R91" s="495"/>
      <c r="S91" s="495"/>
      <c r="T91" s="496"/>
      <c r="U91" s="497"/>
    </row>
    <row r="92" spans="14:21" x14ac:dyDescent="0.3">
      <c r="N92" s="495"/>
      <c r="O92" s="853"/>
      <c r="P92" s="495"/>
      <c r="Q92" s="504"/>
      <c r="R92" s="495"/>
      <c r="S92" s="495"/>
      <c r="T92" s="496"/>
      <c r="U92" s="497"/>
    </row>
    <row r="93" spans="14:21" x14ac:dyDescent="0.3">
      <c r="N93" s="495"/>
      <c r="O93" s="498"/>
      <c r="P93" s="495"/>
      <c r="Q93" s="504"/>
      <c r="R93" s="495"/>
      <c r="S93" s="495"/>
      <c r="T93" s="496"/>
      <c r="U93" s="497"/>
    </row>
    <row r="94" spans="14:21" x14ac:dyDescent="0.3">
      <c r="N94" s="495"/>
      <c r="O94" s="495"/>
      <c r="P94" s="495"/>
      <c r="Q94" s="504"/>
      <c r="R94" s="495"/>
      <c r="S94" s="495"/>
      <c r="T94" s="496"/>
      <c r="U94" s="497"/>
    </row>
    <row r="95" spans="14:21" x14ac:dyDescent="0.3">
      <c r="N95" s="495"/>
      <c r="O95" s="495"/>
      <c r="P95" s="495"/>
      <c r="Q95" s="504"/>
      <c r="R95" s="495"/>
      <c r="S95" s="495"/>
      <c r="T95" s="496"/>
      <c r="U95" s="497"/>
    </row>
    <row r="96" spans="14:21" x14ac:dyDescent="0.3">
      <c r="N96" s="495"/>
      <c r="O96" s="495"/>
      <c r="P96" s="495"/>
      <c r="Q96" s="504"/>
      <c r="R96" s="495"/>
      <c r="S96" s="495"/>
      <c r="T96" s="496"/>
      <c r="U96" s="497"/>
    </row>
    <row r="97" spans="14:21" x14ac:dyDescent="0.3">
      <c r="N97" s="495"/>
      <c r="O97" s="495"/>
      <c r="P97" s="495"/>
      <c r="Q97" s="504"/>
      <c r="R97" s="495"/>
      <c r="S97" s="495"/>
      <c r="T97" s="496"/>
      <c r="U97" s="497"/>
    </row>
    <row r="98" spans="14:21" x14ac:dyDescent="0.3">
      <c r="N98" s="495"/>
      <c r="O98" s="495"/>
      <c r="P98" s="495"/>
      <c r="Q98" s="504"/>
      <c r="R98" s="495"/>
      <c r="S98" s="495"/>
      <c r="T98" s="496"/>
      <c r="U98" s="497"/>
    </row>
  </sheetData>
  <sortState ref="A7:W33">
    <sortCondition ref="B7:B33"/>
    <sortCondition ref="C7:C33"/>
  </sortState>
  <mergeCells count="39">
    <mergeCell ref="Q13:Q15"/>
    <mergeCell ref="R13:R15"/>
    <mergeCell ref="S13:S15"/>
    <mergeCell ref="T13:T15"/>
    <mergeCell ref="N1:U1"/>
    <mergeCell ref="I66:L66"/>
    <mergeCell ref="A1:L1"/>
    <mergeCell ref="A2:H3"/>
    <mergeCell ref="I2:I5"/>
    <mergeCell ref="J2:J5"/>
    <mergeCell ref="K2:K5"/>
    <mergeCell ref="L2:L5"/>
    <mergeCell ref="G4:G5"/>
    <mergeCell ref="F4:F5"/>
    <mergeCell ref="H4:H5"/>
    <mergeCell ref="E4:E5"/>
    <mergeCell ref="D4:D5"/>
    <mergeCell ref="B4:C5"/>
    <mergeCell ref="E13:E15"/>
    <mergeCell ref="I23:I24"/>
    <mergeCell ref="J23:J24"/>
    <mergeCell ref="S23:S24"/>
    <mergeCell ref="T23:T24"/>
    <mergeCell ref="U34:U35"/>
    <mergeCell ref="U23:U24"/>
    <mergeCell ref="K23:K24"/>
    <mergeCell ref="L23:L24"/>
    <mergeCell ref="N23:N24"/>
    <mergeCell ref="O23:O24"/>
    <mergeCell ref="P23:P24"/>
    <mergeCell ref="Q23:Q24"/>
    <mergeCell ref="R23:R24"/>
    <mergeCell ref="H43:H45"/>
    <mergeCell ref="E43:E45"/>
    <mergeCell ref="H52:H55"/>
    <mergeCell ref="F23:F24"/>
    <mergeCell ref="H23:H24"/>
    <mergeCell ref="E23:E24"/>
    <mergeCell ref="G23:G24"/>
  </mergeCells>
  <printOptions horizontalCentered="1"/>
  <pageMargins left="0.2" right="0.2" top="0.6" bottom="0.5" header="0.25" footer="0.25"/>
  <pageSetup paperSize="3" scale="70" fitToHeight="5" orientation="landscape" r:id="rId1"/>
  <headerFooter>
    <oddHeader>&amp;CFY23 BUDGET - "Other" Over Guidelines</oddHeader>
    <oddFooter>&amp;L&amp;12March 29, 2022&amp;CPage &amp;P of &amp;N&amp;R&amp;12&amp;F / &amp;A</oddFooter>
  </headerFooter>
  <rowBreaks count="3" manualBreakCount="3">
    <brk id="12" max="16383" man="1"/>
    <brk id="33" max="16383" man="1"/>
    <brk id="4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92D050"/>
  </sheetPr>
  <dimension ref="A1:AI32"/>
  <sheetViews>
    <sheetView zoomScaleNormal="100" workbookViewId="0">
      <pane xSplit="7" ySplit="3" topLeftCell="H4" activePane="bottomRight" state="frozen"/>
      <selection pane="topRight" activeCell="H1" sqref="H1"/>
      <selection pane="bottomLeft" activeCell="A4" sqref="A4"/>
      <selection pane="bottomRight" activeCell="R23" sqref="R23"/>
    </sheetView>
  </sheetViews>
  <sheetFormatPr defaultColWidth="9.109375" defaultRowHeight="13.8" outlineLevelCol="1" x14ac:dyDescent="0.3"/>
  <cols>
    <col min="1" max="1" width="5.6640625" style="11" customWidth="1"/>
    <col min="2" max="2" width="1.6640625" style="3" customWidth="1"/>
    <col min="3" max="4" width="6.33203125" style="37" customWidth="1"/>
    <col min="5" max="5" width="6.5546875" style="49" customWidth="1"/>
    <col min="6" max="6" width="1.6640625" style="3" customWidth="1"/>
    <col min="7" max="7" width="34.6640625" style="3" customWidth="1"/>
    <col min="8" max="10" width="14.6640625" style="16" hidden="1" customWidth="1" outlineLevel="1"/>
    <col min="11" max="11" width="8.6640625" style="122" hidden="1" customWidth="1" outlineLevel="1"/>
    <col min="12" max="12" width="1.6640625" style="3" hidden="1" customWidth="1" outlineLevel="1"/>
    <col min="13" max="14" width="14.6640625" style="16" hidden="1" customWidth="1" outlineLevel="1"/>
    <col min="15" max="15" width="1.6640625" style="3" hidden="1" customWidth="1" outlineLevel="1"/>
    <col min="16" max="16" width="44.44140625" style="135" hidden="1" customWidth="1" outlineLevel="1"/>
    <col min="17" max="17" width="1.6640625" style="3" hidden="1" customWidth="1" outlineLevel="1"/>
    <col min="18" max="18" width="1.6640625" style="1" customWidth="1" collapsed="1"/>
    <col min="19" max="19" width="16.6640625" style="16" customWidth="1"/>
    <col min="20" max="20" width="6.88671875" style="737" bestFit="1" customWidth="1"/>
    <col min="21" max="21" width="16.6640625" style="3" customWidth="1"/>
    <col min="22" max="22" width="6.88671875" style="737" bestFit="1" customWidth="1"/>
    <col min="23" max="23" width="16.6640625" style="3" customWidth="1"/>
    <col min="24" max="24" width="10.88671875" style="727" bestFit="1" customWidth="1"/>
    <col min="25" max="25" width="1.6640625" style="3" customWidth="1"/>
    <col min="26" max="28" width="9.109375" style="3"/>
    <col min="29" max="33" width="12.6640625" style="3" customWidth="1"/>
    <col min="34" max="16384" width="9.109375" style="3"/>
  </cols>
  <sheetData>
    <row r="1" spans="1:35" s="29" customFormat="1" ht="15" customHeight="1" x14ac:dyDescent="0.3">
      <c r="A1" s="306"/>
      <c r="C1" s="43"/>
      <c r="D1" s="43"/>
      <c r="E1" s="46"/>
      <c r="H1" s="229" t="s">
        <v>469</v>
      </c>
      <c r="I1" s="229" t="s">
        <v>469</v>
      </c>
      <c r="J1" s="229" t="s">
        <v>469</v>
      </c>
      <c r="K1" s="230" t="s">
        <v>469</v>
      </c>
      <c r="M1" s="229" t="s">
        <v>469</v>
      </c>
      <c r="N1" s="229" t="s">
        <v>469</v>
      </c>
      <c r="P1" s="229" t="s">
        <v>469</v>
      </c>
      <c r="Q1" s="704"/>
      <c r="R1" s="306"/>
      <c r="S1" s="996" t="s">
        <v>1265</v>
      </c>
      <c r="T1" s="999" t="s">
        <v>1244</v>
      </c>
      <c r="U1" s="1000"/>
      <c r="V1" s="999" t="s">
        <v>1245</v>
      </c>
      <c r="W1" s="1000"/>
      <c r="X1" s="1005" t="s">
        <v>1173</v>
      </c>
      <c r="AA1" s="12"/>
      <c r="AB1" s="12"/>
      <c r="AC1" s="12"/>
      <c r="AD1" s="12"/>
      <c r="AE1" s="12"/>
      <c r="AF1" s="12"/>
      <c r="AG1" s="12"/>
      <c r="AH1" s="12"/>
      <c r="AI1" s="12"/>
    </row>
    <row r="2" spans="1:35" s="113" customFormat="1" ht="28.8" x14ac:dyDescent="0.3">
      <c r="A2" s="995" t="s">
        <v>1536</v>
      </c>
      <c r="B2" s="995"/>
      <c r="C2" s="995"/>
      <c r="D2" s="995"/>
      <c r="E2" s="995"/>
      <c r="F2" s="995"/>
      <c r="G2" s="995"/>
      <c r="H2" s="556" t="s">
        <v>500</v>
      </c>
      <c r="I2" s="556" t="s">
        <v>587</v>
      </c>
      <c r="J2" s="556" t="s">
        <v>493</v>
      </c>
      <c r="K2" s="557" t="s">
        <v>494</v>
      </c>
      <c r="L2" s="558"/>
      <c r="M2" s="556" t="s">
        <v>495</v>
      </c>
      <c r="N2" s="556" t="s">
        <v>496</v>
      </c>
      <c r="O2" s="558"/>
      <c r="P2" s="559" t="s">
        <v>590</v>
      </c>
      <c r="Q2" s="553"/>
      <c r="R2" s="307"/>
      <c r="S2" s="997"/>
      <c r="T2" s="1001"/>
      <c r="U2" s="1002"/>
      <c r="V2" s="1001"/>
      <c r="W2" s="1002"/>
      <c r="X2" s="1006"/>
      <c r="AA2" s="994" t="s">
        <v>1276</v>
      </c>
      <c r="AB2" s="994"/>
      <c r="AC2" s="994"/>
      <c r="AD2" s="994"/>
      <c r="AE2" s="994"/>
      <c r="AF2" s="994"/>
      <c r="AG2" s="739"/>
      <c r="AH2" s="739"/>
      <c r="AI2" s="739"/>
    </row>
    <row r="3" spans="1:35" s="12" customFormat="1" x14ac:dyDescent="0.3">
      <c r="C3" s="35"/>
      <c r="D3" s="35"/>
      <c r="E3" s="47"/>
      <c r="H3" s="560"/>
      <c r="I3" s="560"/>
      <c r="J3" s="560"/>
      <c r="K3" s="561"/>
      <c r="L3" s="562"/>
      <c r="M3" s="560"/>
      <c r="N3" s="560"/>
      <c r="O3" s="562"/>
      <c r="P3" s="563"/>
      <c r="Q3" s="555"/>
      <c r="R3" s="308"/>
      <c r="S3" s="998"/>
      <c r="T3" s="1003"/>
      <c r="U3" s="1004"/>
      <c r="V3" s="1003"/>
      <c r="W3" s="1004"/>
      <c r="X3" s="1007"/>
    </row>
    <row r="4" spans="1:35" s="1" customFormat="1" ht="15.6" x14ac:dyDescent="0.3">
      <c r="A4" s="14" t="s">
        <v>272</v>
      </c>
      <c r="B4" s="2"/>
      <c r="C4" s="36"/>
      <c r="D4" s="36"/>
      <c r="E4" s="48"/>
      <c r="F4" s="2"/>
      <c r="G4" s="2"/>
      <c r="H4" s="15"/>
      <c r="I4" s="15"/>
      <c r="J4" s="15"/>
      <c r="K4" s="121"/>
      <c r="M4" s="15"/>
      <c r="N4" s="15"/>
      <c r="P4" s="133"/>
      <c r="S4" s="15"/>
      <c r="T4" s="733"/>
      <c r="U4" s="733"/>
      <c r="V4" s="733"/>
      <c r="W4" s="733"/>
      <c r="X4" s="733"/>
    </row>
    <row r="5" spans="1:35" x14ac:dyDescent="0.3">
      <c r="A5" s="11">
        <v>910</v>
      </c>
      <c r="B5" s="3" t="s">
        <v>2</v>
      </c>
      <c r="C5" s="37">
        <v>91005</v>
      </c>
      <c r="D5" s="37">
        <v>51700</v>
      </c>
      <c r="F5" s="3" t="s">
        <v>2</v>
      </c>
      <c r="G5" s="3" t="s">
        <v>462</v>
      </c>
      <c r="H5" s="26">
        <v>1057155</v>
      </c>
      <c r="I5" s="244">
        <v>34812</v>
      </c>
      <c r="J5" s="16">
        <f t="shared" ref="J5:J15" si="0">H5+I5</f>
        <v>1091967</v>
      </c>
      <c r="K5" s="122">
        <f t="shared" ref="K5:K15" si="1">IF(H5=0," ",(J5-H5)/H5)</f>
        <v>3.2929892021510566E-2</v>
      </c>
      <c r="M5" s="117">
        <v>1076261</v>
      </c>
      <c r="N5" s="117">
        <v>1076261</v>
      </c>
      <c r="P5" s="131" t="s">
        <v>526</v>
      </c>
      <c r="S5" s="26">
        <v>1432033</v>
      </c>
      <c r="T5" s="734">
        <v>0.76229999999999998</v>
      </c>
      <c r="U5" s="730">
        <f>S5*T5</f>
        <v>1091638.7559</v>
      </c>
      <c r="V5" s="734">
        <v>0.23769999999999999</v>
      </c>
      <c r="W5" s="730">
        <f>S5*V5</f>
        <v>340394.24410000001</v>
      </c>
      <c r="X5" s="722">
        <f>S5-U5-W5</f>
        <v>0</v>
      </c>
      <c r="AA5" s="740"/>
      <c r="AB5" s="740"/>
      <c r="AC5" s="740"/>
      <c r="AD5" s="740"/>
      <c r="AE5" s="740"/>
      <c r="AF5" s="740"/>
    </row>
    <row r="6" spans="1:35" s="19" customFormat="1" x14ac:dyDescent="0.3">
      <c r="A6" s="27"/>
      <c r="B6" s="8"/>
      <c r="C6" s="42"/>
      <c r="D6" s="42"/>
      <c r="E6" s="54"/>
      <c r="F6" s="8"/>
      <c r="G6" s="57" t="s">
        <v>270</v>
      </c>
      <c r="H6" s="28" t="e">
        <f>SUM(#REF!)</f>
        <v>#REF!</v>
      </c>
      <c r="I6" s="28" t="e">
        <f>SUM(#REF!)</f>
        <v>#REF!</v>
      </c>
      <c r="J6" s="28" t="e">
        <f>SUM(#REF!)</f>
        <v>#REF!</v>
      </c>
      <c r="K6" s="123" t="e">
        <f>IF(H6=0," ",(J6-H6)/H6)</f>
        <v>#REF!</v>
      </c>
      <c r="M6" s="28" t="e">
        <f>SUM(#REF!)</f>
        <v>#REF!</v>
      </c>
      <c r="N6" s="28" t="e">
        <f>SUM(#REF!)</f>
        <v>#REF!</v>
      </c>
      <c r="P6" s="139" t="e">
        <f>SUM(#REF!)</f>
        <v>#REF!</v>
      </c>
      <c r="R6" s="9"/>
      <c r="S6" s="28">
        <f>SUM(S5)</f>
        <v>1432033</v>
      </c>
      <c r="T6" s="735"/>
      <c r="U6" s="28">
        <f>SUM(U5)</f>
        <v>1091638.7559</v>
      </c>
      <c r="V6" s="735"/>
      <c r="W6" s="28">
        <f>SUM(W5)</f>
        <v>340394.24410000001</v>
      </c>
      <c r="X6" s="723"/>
      <c r="AA6" s="740"/>
      <c r="AB6" s="740" t="s">
        <v>1274</v>
      </c>
      <c r="AC6" s="740"/>
      <c r="AD6" s="744">
        <v>41388226</v>
      </c>
      <c r="AE6" s="740"/>
      <c r="AF6" s="740"/>
      <c r="AG6" s="3"/>
      <c r="AH6" s="3"/>
      <c r="AI6" s="3"/>
    </row>
    <row r="7" spans="1:35" ht="9.9" customHeight="1" x14ac:dyDescent="0.3">
      <c r="S7" s="26"/>
      <c r="T7" s="736"/>
      <c r="U7" s="730"/>
      <c r="V7" s="736"/>
      <c r="W7" s="730"/>
      <c r="X7" s="724"/>
      <c r="AA7" s="740"/>
      <c r="AB7" s="740" t="s">
        <v>1275</v>
      </c>
      <c r="AC7" s="740"/>
      <c r="AD7" s="743">
        <v>3.4599999999999999E-2</v>
      </c>
      <c r="AE7" s="740"/>
      <c r="AF7" s="740"/>
    </row>
    <row r="8" spans="1:35" s="1" customFormat="1" x14ac:dyDescent="0.3">
      <c r="A8" s="20"/>
      <c r="B8" s="5"/>
      <c r="C8" s="39"/>
      <c r="D8" s="39"/>
      <c r="E8" s="51"/>
      <c r="F8" s="5"/>
      <c r="G8" s="21" t="s">
        <v>271</v>
      </c>
      <c r="H8" s="22" t="e">
        <f t="shared" ref="H8:J8" si="2">H6</f>
        <v>#REF!</v>
      </c>
      <c r="I8" s="22" t="e">
        <f t="shared" si="2"/>
        <v>#REF!</v>
      </c>
      <c r="J8" s="22" t="e">
        <f t="shared" si="2"/>
        <v>#REF!</v>
      </c>
      <c r="K8" s="124" t="e">
        <f>IF(H8=0," ",(J8-H8)/H8)</f>
        <v>#REF!</v>
      </c>
      <c r="M8" s="22" t="e">
        <f>M6</f>
        <v>#REF!</v>
      </c>
      <c r="N8" s="22" t="e">
        <f>N6</f>
        <v>#REF!</v>
      </c>
      <c r="P8" s="136" t="e">
        <f>P6</f>
        <v>#REF!</v>
      </c>
      <c r="S8" s="22">
        <f>S6</f>
        <v>1432033</v>
      </c>
      <c r="T8" s="220"/>
      <c r="U8" s="731">
        <f>U6</f>
        <v>1091638.7559</v>
      </c>
      <c r="V8" s="220"/>
      <c r="W8" s="731">
        <f>W6</f>
        <v>340394.24410000001</v>
      </c>
      <c r="X8" s="725"/>
      <c r="AA8" s="740"/>
      <c r="AB8" s="740" t="s">
        <v>1266</v>
      </c>
      <c r="AC8" s="740"/>
      <c r="AD8" s="740">
        <v>2020</v>
      </c>
      <c r="AE8" s="740"/>
      <c r="AF8" s="740"/>
    </row>
    <row r="9" spans="1:35" ht="30" customHeight="1" x14ac:dyDescent="0.3">
      <c r="U9" s="730"/>
      <c r="W9" s="730"/>
      <c r="X9" s="724"/>
      <c r="AA9" s="740"/>
      <c r="AB9" s="740"/>
      <c r="AC9" s="740"/>
      <c r="AD9" s="740"/>
      <c r="AE9" s="740"/>
      <c r="AF9" s="740"/>
    </row>
    <row r="10" spans="1:35" s="1" customFormat="1" ht="15.6" x14ac:dyDescent="0.3">
      <c r="A10" s="14" t="s">
        <v>272</v>
      </c>
      <c r="B10" s="2"/>
      <c r="C10" s="36"/>
      <c r="D10" s="36"/>
      <c r="E10" s="48"/>
      <c r="F10" s="2"/>
      <c r="G10" s="2"/>
      <c r="H10" s="15"/>
      <c r="I10" s="15"/>
      <c r="J10" s="15"/>
      <c r="K10" s="121"/>
      <c r="M10" s="15"/>
      <c r="N10" s="15"/>
      <c r="P10" s="133"/>
      <c r="S10" s="15"/>
      <c r="T10" s="733"/>
      <c r="U10" s="733"/>
      <c r="V10" s="733"/>
      <c r="W10" s="733"/>
      <c r="X10" s="733"/>
      <c r="AA10" s="740"/>
      <c r="AB10" s="740" t="s">
        <v>1267</v>
      </c>
      <c r="AC10" s="741">
        <v>617458.12</v>
      </c>
      <c r="AD10" s="742">
        <v>0.1216</v>
      </c>
      <c r="AE10" s="741">
        <f t="shared" ref="AE10:AE16" si="3">AC10*AD10</f>
        <v>75082.907391999994</v>
      </c>
      <c r="AF10" s="741"/>
      <c r="AG10" s="738"/>
    </row>
    <row r="11" spans="1:35" x14ac:dyDescent="0.3">
      <c r="A11" s="11">
        <v>915</v>
      </c>
      <c r="B11" s="3" t="s">
        <v>2</v>
      </c>
      <c r="C11" s="37">
        <v>91505</v>
      </c>
      <c r="D11" s="37">
        <v>51730</v>
      </c>
      <c r="F11" s="3" t="s">
        <v>2</v>
      </c>
      <c r="G11" s="3" t="s">
        <v>463</v>
      </c>
      <c r="H11" s="26">
        <v>2038793</v>
      </c>
      <c r="I11" s="244">
        <v>86207</v>
      </c>
      <c r="J11" s="16">
        <f t="shared" si="0"/>
        <v>2125000</v>
      </c>
      <c r="K11" s="122">
        <f t="shared" si="1"/>
        <v>4.2283350982664746E-2</v>
      </c>
      <c r="M11" s="117">
        <v>2125000</v>
      </c>
      <c r="N11" s="117">
        <v>2100000</v>
      </c>
      <c r="P11" s="131" t="s">
        <v>614</v>
      </c>
      <c r="S11" s="26">
        <v>2050000</v>
      </c>
      <c r="T11" s="734">
        <v>0.35</v>
      </c>
      <c r="U11" s="730">
        <f>S11*T11</f>
        <v>717500</v>
      </c>
      <c r="V11" s="734">
        <v>0.65</v>
      </c>
      <c r="W11" s="730">
        <f>S11*V11</f>
        <v>1332500</v>
      </c>
      <c r="X11" s="722">
        <f>S11-U11-W11</f>
        <v>0</v>
      </c>
      <c r="AA11" s="740"/>
      <c r="AB11" s="740" t="s">
        <v>1268</v>
      </c>
      <c r="AC11" s="741"/>
      <c r="AD11" s="742"/>
      <c r="AE11" s="741">
        <f t="shared" si="3"/>
        <v>0</v>
      </c>
      <c r="AF11" s="741"/>
      <c r="AG11" s="730"/>
    </row>
    <row r="12" spans="1:35" x14ac:dyDescent="0.3">
      <c r="A12" s="11">
        <v>915</v>
      </c>
      <c r="B12" s="3" t="s">
        <v>2</v>
      </c>
      <c r="C12" s="37">
        <v>91505</v>
      </c>
      <c r="D12" s="37">
        <v>51740</v>
      </c>
      <c r="F12" s="3" t="s">
        <v>2</v>
      </c>
      <c r="G12" s="3" t="s">
        <v>464</v>
      </c>
      <c r="H12" s="26">
        <v>6855</v>
      </c>
      <c r="I12" s="244"/>
      <c r="J12" s="16">
        <f t="shared" si="0"/>
        <v>6855</v>
      </c>
      <c r="K12" s="122">
        <f t="shared" si="1"/>
        <v>0</v>
      </c>
      <c r="M12" s="117">
        <v>6855</v>
      </c>
      <c r="N12" s="117">
        <v>6855</v>
      </c>
      <c r="P12" s="131"/>
      <c r="S12" s="26">
        <v>6855</v>
      </c>
      <c r="T12" s="734">
        <v>1</v>
      </c>
      <c r="U12" s="730">
        <f>S12*T12</f>
        <v>6855</v>
      </c>
      <c r="V12" s="734"/>
      <c r="W12" s="730">
        <f>S12*V12</f>
        <v>0</v>
      </c>
      <c r="X12" s="722">
        <f>S12-U12-W12</f>
        <v>0</v>
      </c>
      <c r="AA12" s="740"/>
      <c r="AB12" s="740" t="s">
        <v>1269</v>
      </c>
      <c r="AC12" s="741">
        <v>375515.53</v>
      </c>
      <c r="AD12" s="742">
        <v>7.3899999999999993E-2</v>
      </c>
      <c r="AE12" s="741">
        <f t="shared" si="3"/>
        <v>27750.597666999998</v>
      </c>
      <c r="AF12" s="741"/>
      <c r="AG12" s="730"/>
    </row>
    <row r="13" spans="1:35" x14ac:dyDescent="0.3">
      <c r="A13" s="11">
        <v>915</v>
      </c>
      <c r="B13" s="3" t="s">
        <v>2</v>
      </c>
      <c r="C13" s="37">
        <v>91505</v>
      </c>
      <c r="D13" s="37">
        <v>51750</v>
      </c>
      <c r="F13" s="3" t="s">
        <v>2</v>
      </c>
      <c r="G13" s="3" t="s">
        <v>465</v>
      </c>
      <c r="H13" s="26">
        <v>175266</v>
      </c>
      <c r="I13" s="244">
        <v>8763</v>
      </c>
      <c r="J13" s="16">
        <f t="shared" si="0"/>
        <v>184029</v>
      </c>
      <c r="K13" s="122">
        <f t="shared" si="1"/>
        <v>4.9998288316045324E-2</v>
      </c>
      <c r="M13" s="117">
        <v>184029</v>
      </c>
      <c r="N13" s="117">
        <v>184029</v>
      </c>
      <c r="P13" s="131"/>
      <c r="S13" s="26">
        <v>210132</v>
      </c>
      <c r="T13" s="734">
        <v>0.5</v>
      </c>
      <c r="U13" s="730">
        <f>S13*T13</f>
        <v>105066</v>
      </c>
      <c r="V13" s="734">
        <v>0.5</v>
      </c>
      <c r="W13" s="730">
        <f>S13*V13</f>
        <v>105066</v>
      </c>
      <c r="X13" s="722">
        <f>S13-U13-W13</f>
        <v>0</v>
      </c>
      <c r="AA13" s="740"/>
      <c r="AB13" s="740" t="s">
        <v>1270</v>
      </c>
      <c r="AC13" s="741">
        <v>1050134.0900000001</v>
      </c>
      <c r="AD13" s="742">
        <v>0.20669999999999999</v>
      </c>
      <c r="AE13" s="741">
        <f t="shared" si="3"/>
        <v>217062.716403</v>
      </c>
      <c r="AF13" s="741"/>
      <c r="AG13" s="730"/>
    </row>
    <row r="14" spans="1:35" x14ac:dyDescent="0.3">
      <c r="A14" s="11">
        <v>915</v>
      </c>
      <c r="B14" s="3" t="s">
        <v>2</v>
      </c>
      <c r="C14" s="37">
        <v>91505</v>
      </c>
      <c r="D14" s="37">
        <v>51770</v>
      </c>
      <c r="F14" s="3" t="s">
        <v>2</v>
      </c>
      <c r="G14" s="3" t="s">
        <v>466</v>
      </c>
      <c r="H14" s="26">
        <v>7200</v>
      </c>
      <c r="I14" s="244"/>
      <c r="J14" s="16">
        <f t="shared" si="0"/>
        <v>7200</v>
      </c>
      <c r="K14" s="122">
        <f t="shared" si="1"/>
        <v>0</v>
      </c>
      <c r="M14" s="117">
        <v>7200</v>
      </c>
      <c r="N14" s="117">
        <v>7200</v>
      </c>
      <c r="P14" s="131"/>
      <c r="S14" s="26">
        <v>4200</v>
      </c>
      <c r="T14" s="734">
        <v>1</v>
      </c>
      <c r="U14" s="730">
        <f>S14*T14</f>
        <v>4200</v>
      </c>
      <c r="V14" s="734"/>
      <c r="W14" s="730">
        <f>S14*V14</f>
        <v>0</v>
      </c>
      <c r="X14" s="722">
        <f>S14-U14-W14</f>
        <v>0</v>
      </c>
      <c r="AA14" s="740"/>
      <c r="AB14" s="740" t="s">
        <v>1271</v>
      </c>
      <c r="AC14" s="741">
        <v>418224.05</v>
      </c>
      <c r="AD14" s="742">
        <v>8.2299999999999998E-2</v>
      </c>
      <c r="AE14" s="741">
        <f t="shared" si="3"/>
        <v>34419.839314999997</v>
      </c>
      <c r="AF14" s="741"/>
      <c r="AG14" s="730"/>
    </row>
    <row r="15" spans="1:35" x14ac:dyDescent="0.3">
      <c r="A15" s="11">
        <v>915</v>
      </c>
      <c r="B15" s="3" t="s">
        <v>2</v>
      </c>
      <c r="C15" s="37">
        <v>91505</v>
      </c>
      <c r="D15" s="37">
        <v>51771</v>
      </c>
      <c r="F15" s="3" t="s">
        <v>2</v>
      </c>
      <c r="G15" s="3" t="s">
        <v>467</v>
      </c>
      <c r="H15" s="26">
        <v>6000</v>
      </c>
      <c r="I15" s="244"/>
      <c r="J15" s="16">
        <f t="shared" si="0"/>
        <v>6000</v>
      </c>
      <c r="K15" s="122">
        <f t="shared" si="1"/>
        <v>0</v>
      </c>
      <c r="M15" s="117">
        <v>6000</v>
      </c>
      <c r="N15" s="117">
        <v>6000</v>
      </c>
      <c r="P15" s="131"/>
      <c r="S15" s="26">
        <v>2000</v>
      </c>
      <c r="T15" s="734">
        <v>1</v>
      </c>
      <c r="U15" s="730">
        <f>S15*T15</f>
        <v>2000</v>
      </c>
      <c r="V15" s="734"/>
      <c r="W15" s="730">
        <f>S15*V15</f>
        <v>0</v>
      </c>
      <c r="X15" s="722">
        <f>S15-U15-W15</f>
        <v>0</v>
      </c>
      <c r="AA15" s="740"/>
      <c r="AB15" s="740" t="s">
        <v>1272</v>
      </c>
      <c r="AC15" s="741">
        <v>1411256.31</v>
      </c>
      <c r="AD15" s="742">
        <v>0.27779999999999999</v>
      </c>
      <c r="AE15" s="741">
        <f t="shared" si="3"/>
        <v>392047.00291799998</v>
      </c>
      <c r="AF15" s="741"/>
      <c r="AG15" s="730"/>
    </row>
    <row r="16" spans="1:35" s="19" customFormat="1" x14ac:dyDescent="0.3">
      <c r="A16" s="27"/>
      <c r="B16" s="8"/>
      <c r="C16" s="42"/>
      <c r="D16" s="42"/>
      <c r="E16" s="54"/>
      <c r="F16" s="8"/>
      <c r="G16" s="57" t="s">
        <v>270</v>
      </c>
      <c r="H16" s="28" t="e">
        <f>SUM(H5:H15)</f>
        <v>#REF!</v>
      </c>
      <c r="I16" s="28" t="e">
        <f>SUM(I5:I15)</f>
        <v>#REF!</v>
      </c>
      <c r="J16" s="28" t="e">
        <f>SUM(J5:J15)</f>
        <v>#REF!</v>
      </c>
      <c r="K16" s="123" t="e">
        <f>IF(H16=0," ",(J16-H16)/H16)</f>
        <v>#REF!</v>
      </c>
      <c r="M16" s="28" t="e">
        <f>SUM(M5:M15)</f>
        <v>#REF!</v>
      </c>
      <c r="N16" s="28" t="e">
        <f>SUM(N5:N15)</f>
        <v>#REF!</v>
      </c>
      <c r="P16" s="139" t="e">
        <f>SUM(P5:P15)</f>
        <v>#REF!</v>
      </c>
      <c r="R16" s="9"/>
      <c r="S16" s="28">
        <f>SUM(S11:S15)</f>
        <v>2273187</v>
      </c>
      <c r="T16" s="735"/>
      <c r="U16" s="28">
        <f>SUM(U11:U15)</f>
        <v>835621</v>
      </c>
      <c r="V16" s="735"/>
      <c r="W16" s="28">
        <f>SUM(W11:W15)</f>
        <v>1437566</v>
      </c>
      <c r="X16" s="723"/>
      <c r="AA16" s="740"/>
      <c r="AB16" s="740" t="s">
        <v>1273</v>
      </c>
      <c r="AC16" s="741">
        <v>1207200.67</v>
      </c>
      <c r="AD16" s="742">
        <v>0.23769999999999999</v>
      </c>
      <c r="AE16" s="741">
        <f t="shared" si="3"/>
        <v>286951.59925899998</v>
      </c>
      <c r="AF16" s="741"/>
      <c r="AG16" s="730"/>
      <c r="AH16" s="3"/>
      <c r="AI16" s="3"/>
    </row>
    <row r="17" spans="1:35" ht="9.9" customHeight="1" x14ac:dyDescent="0.3">
      <c r="S17" s="26"/>
      <c r="T17" s="736"/>
      <c r="U17" s="730"/>
      <c r="V17" s="736"/>
      <c r="W17" s="730"/>
      <c r="X17" s="724"/>
      <c r="AA17" s="740"/>
      <c r="AB17" s="740"/>
      <c r="AC17" s="740"/>
      <c r="AD17" s="743"/>
      <c r="AE17" s="741"/>
      <c r="AF17" s="740"/>
    </row>
    <row r="18" spans="1:35" s="1" customFormat="1" x14ac:dyDescent="0.3">
      <c r="A18" s="20"/>
      <c r="B18" s="5"/>
      <c r="C18" s="39"/>
      <c r="D18" s="39"/>
      <c r="E18" s="51"/>
      <c r="F18" s="5"/>
      <c r="G18" s="21" t="s">
        <v>271</v>
      </c>
      <c r="H18" s="22" t="e">
        <f t="shared" ref="H18:J18" si="4">H16</f>
        <v>#REF!</v>
      </c>
      <c r="I18" s="22" t="e">
        <f t="shared" si="4"/>
        <v>#REF!</v>
      </c>
      <c r="J18" s="22" t="e">
        <f t="shared" si="4"/>
        <v>#REF!</v>
      </c>
      <c r="K18" s="124" t="e">
        <f>IF(H18=0," ",(J18-H18)/H18)</f>
        <v>#REF!</v>
      </c>
      <c r="M18" s="22" t="e">
        <f>M16</f>
        <v>#REF!</v>
      </c>
      <c r="N18" s="22" t="e">
        <f>N16</f>
        <v>#REF!</v>
      </c>
      <c r="P18" s="136" t="e">
        <f>P16</f>
        <v>#REF!</v>
      </c>
      <c r="S18" s="22">
        <f>S16</f>
        <v>2273187</v>
      </c>
      <c r="T18" s="220"/>
      <c r="U18" s="731">
        <f>U16</f>
        <v>835621</v>
      </c>
      <c r="V18" s="220"/>
      <c r="W18" s="731">
        <f>W16</f>
        <v>1437566</v>
      </c>
      <c r="X18" s="725"/>
      <c r="AA18" s="740"/>
      <c r="AB18" s="740"/>
      <c r="AC18" s="403">
        <f>SUM(AC10:AC17)</f>
        <v>5079788.7699999996</v>
      </c>
      <c r="AD18" s="743">
        <f>SUM(AD10:AD17)</f>
        <v>1</v>
      </c>
      <c r="AE18" s="403">
        <f>SUM(AE10:AE17)</f>
        <v>1033314.6629540001</v>
      </c>
      <c r="AF18" s="740"/>
    </row>
    <row r="19" spans="1:35" ht="30" customHeight="1" x14ac:dyDescent="0.3">
      <c r="U19" s="730"/>
      <c r="W19" s="730"/>
      <c r="X19" s="724"/>
      <c r="AA19" s="740"/>
      <c r="AB19" s="740"/>
      <c r="AC19" s="740"/>
      <c r="AD19" s="740"/>
      <c r="AE19" s="740"/>
      <c r="AF19" s="740"/>
    </row>
    <row r="20" spans="1:35" s="1" customFormat="1" ht="15.6" x14ac:dyDescent="0.3">
      <c r="A20" s="14" t="s">
        <v>273</v>
      </c>
      <c r="B20" s="2"/>
      <c r="C20" s="36"/>
      <c r="D20" s="36"/>
      <c r="E20" s="48"/>
      <c r="F20" s="2"/>
      <c r="G20" s="2"/>
      <c r="H20" s="15"/>
      <c r="I20" s="15"/>
      <c r="J20" s="15"/>
      <c r="K20" s="121"/>
      <c r="M20" s="15"/>
      <c r="N20" s="15"/>
      <c r="P20" s="133"/>
      <c r="S20" s="15"/>
      <c r="T20" s="733"/>
      <c r="U20" s="732"/>
      <c r="V20" s="733"/>
      <c r="W20" s="732"/>
      <c r="X20" s="726"/>
    </row>
    <row r="21" spans="1:35" x14ac:dyDescent="0.3">
      <c r="A21" s="11">
        <v>916</v>
      </c>
      <c r="B21" s="3" t="s">
        <v>2</v>
      </c>
      <c r="C21" s="37">
        <v>91605</v>
      </c>
      <c r="D21" s="37">
        <v>51720</v>
      </c>
      <c r="F21" s="3" t="s">
        <v>2</v>
      </c>
      <c r="G21" s="3" t="s">
        <v>458</v>
      </c>
      <c r="H21" s="26">
        <v>64923</v>
      </c>
      <c r="I21" s="244">
        <v>6492</v>
      </c>
      <c r="J21" s="16">
        <f t="shared" ref="J21:J24" si="5">H21+I21</f>
        <v>71415</v>
      </c>
      <c r="K21" s="122">
        <f t="shared" ref="K21:K25" si="6">IF(H21=0," ",(J21-H21)/H21)</f>
        <v>9.9995379141444476E-2</v>
      </c>
      <c r="M21" s="117">
        <v>68169</v>
      </c>
      <c r="N21" s="117">
        <v>68169</v>
      </c>
      <c r="P21" s="131" t="s">
        <v>626</v>
      </c>
      <c r="S21" s="26">
        <v>91000</v>
      </c>
      <c r="T21" s="734">
        <v>0.5</v>
      </c>
      <c r="U21" s="730">
        <f>S21*T21</f>
        <v>45500</v>
      </c>
      <c r="V21" s="734">
        <v>0.5</v>
      </c>
      <c r="W21" s="730">
        <f>S21*V21</f>
        <v>45500</v>
      </c>
      <c r="X21" s="722">
        <f>S21-U21-W21</f>
        <v>0</v>
      </c>
    </row>
    <row r="22" spans="1:35" x14ac:dyDescent="0.3">
      <c r="A22" s="11">
        <v>916</v>
      </c>
      <c r="B22" s="3" t="s">
        <v>2</v>
      </c>
      <c r="C22" s="37">
        <v>91605</v>
      </c>
      <c r="D22" s="37">
        <v>57400</v>
      </c>
      <c r="F22" s="3" t="s">
        <v>2</v>
      </c>
      <c r="G22" s="3" t="s">
        <v>459</v>
      </c>
      <c r="H22" s="26">
        <v>196113</v>
      </c>
      <c r="I22" s="244">
        <v>19611</v>
      </c>
      <c r="J22" s="16">
        <f t="shared" si="5"/>
        <v>215724</v>
      </c>
      <c r="K22" s="122">
        <f t="shared" si="6"/>
        <v>9.9998470269691456E-2</v>
      </c>
      <c r="M22" s="117">
        <v>205920</v>
      </c>
      <c r="N22" s="117">
        <v>205920</v>
      </c>
      <c r="P22" s="131" t="s">
        <v>626</v>
      </c>
      <c r="S22" s="26">
        <v>291512</v>
      </c>
      <c r="T22" s="734">
        <v>0.75</v>
      </c>
      <c r="U22" s="730">
        <f>S22*T22</f>
        <v>218634</v>
      </c>
      <c r="V22" s="734">
        <v>0.25</v>
      </c>
      <c r="W22" s="730">
        <f>S22*V22</f>
        <v>72878</v>
      </c>
      <c r="X22" s="722">
        <f>S22-U22-W22</f>
        <v>0</v>
      </c>
    </row>
    <row r="23" spans="1:35" x14ac:dyDescent="0.3">
      <c r="A23" s="11">
        <v>916</v>
      </c>
      <c r="B23" s="3" t="s">
        <v>2</v>
      </c>
      <c r="C23" s="37">
        <v>91605</v>
      </c>
      <c r="D23" s="37">
        <v>57430</v>
      </c>
      <c r="F23" s="3" t="s">
        <v>2</v>
      </c>
      <c r="G23" s="3" t="s">
        <v>460</v>
      </c>
      <c r="H23" s="26">
        <v>136979</v>
      </c>
      <c r="I23" s="244">
        <v>13697</v>
      </c>
      <c r="J23" s="16">
        <f t="shared" si="5"/>
        <v>150676</v>
      </c>
      <c r="K23" s="122">
        <f t="shared" si="6"/>
        <v>9.9993429649800333E-2</v>
      </c>
      <c r="M23" s="117">
        <v>146373</v>
      </c>
      <c r="N23" s="117">
        <v>146373</v>
      </c>
      <c r="P23" s="131" t="s">
        <v>628</v>
      </c>
      <c r="S23" s="26">
        <v>89100</v>
      </c>
      <c r="T23" s="734">
        <v>1</v>
      </c>
      <c r="U23" s="730">
        <f>S23*T23</f>
        <v>89100</v>
      </c>
      <c r="V23" s="734"/>
      <c r="W23" s="730">
        <f>S23*V23</f>
        <v>0</v>
      </c>
      <c r="X23" s="722">
        <f>S23-U23-W23</f>
        <v>0</v>
      </c>
    </row>
    <row r="24" spans="1:35" x14ac:dyDescent="0.3">
      <c r="A24" s="11">
        <v>916</v>
      </c>
      <c r="B24" s="3" t="s">
        <v>2</v>
      </c>
      <c r="C24" s="37">
        <v>91605</v>
      </c>
      <c r="D24" s="37">
        <v>57440</v>
      </c>
      <c r="F24" s="3" t="s">
        <v>2</v>
      </c>
      <c r="G24" s="3" t="s">
        <v>461</v>
      </c>
      <c r="H24" s="26">
        <v>1650</v>
      </c>
      <c r="I24" s="244">
        <v>165</v>
      </c>
      <c r="J24" s="16">
        <f t="shared" si="5"/>
        <v>1815</v>
      </c>
      <c r="K24" s="122">
        <f t="shared" si="6"/>
        <v>0.1</v>
      </c>
      <c r="M24" s="117">
        <v>1815</v>
      </c>
      <c r="N24" s="117">
        <v>1815</v>
      </c>
      <c r="P24" s="131"/>
      <c r="S24" s="26">
        <v>2000</v>
      </c>
      <c r="T24" s="734">
        <v>1</v>
      </c>
      <c r="U24" s="730">
        <f>S24*T24</f>
        <v>2000</v>
      </c>
      <c r="V24" s="734"/>
      <c r="W24" s="730">
        <f>S24*V24</f>
        <v>0</v>
      </c>
      <c r="X24" s="722">
        <f>S24-U24-W24</f>
        <v>0</v>
      </c>
    </row>
    <row r="25" spans="1:35" s="19" customFormat="1" x14ac:dyDescent="0.3">
      <c r="A25" s="27"/>
      <c r="B25" s="8"/>
      <c r="C25" s="42"/>
      <c r="D25" s="42"/>
      <c r="E25" s="54"/>
      <c r="F25" s="8"/>
      <c r="G25" s="57" t="s">
        <v>275</v>
      </c>
      <c r="H25" s="28">
        <f>SUM(H21:H24)</f>
        <v>399665</v>
      </c>
      <c r="I25" s="28">
        <f>SUM(I21:I24)</f>
        <v>39965</v>
      </c>
      <c r="J25" s="28">
        <f>SUM(J21:J24)</f>
        <v>439630</v>
      </c>
      <c r="K25" s="123">
        <f t="shared" si="6"/>
        <v>9.9996246856742521E-2</v>
      </c>
      <c r="M25" s="28">
        <f>SUM(M21:M24)</f>
        <v>422277</v>
      </c>
      <c r="N25" s="28">
        <f>SUM(N21:N24)</f>
        <v>422277</v>
      </c>
      <c r="P25" s="139">
        <f>SUM(P21:P24)</f>
        <v>0</v>
      </c>
      <c r="R25" s="9"/>
      <c r="S25" s="28">
        <f>SUM(S21:S24)</f>
        <v>473612</v>
      </c>
      <c r="T25" s="735"/>
      <c r="U25" s="28">
        <f>SUM(U21:U24)</f>
        <v>355234</v>
      </c>
      <c r="V25" s="735"/>
      <c r="W25" s="28">
        <f>SUM(W21:W24)</f>
        <v>118378</v>
      </c>
      <c r="X25" s="723">
        <f>SUM(X21:X24)</f>
        <v>0</v>
      </c>
      <c r="AA25" s="3"/>
      <c r="AB25" s="3"/>
      <c r="AC25" s="3"/>
      <c r="AD25" s="3"/>
      <c r="AE25" s="3"/>
      <c r="AF25" s="3"/>
      <c r="AG25" s="3"/>
      <c r="AH25" s="3"/>
      <c r="AI25" s="3"/>
    </row>
    <row r="26" spans="1:35" ht="9.9" customHeight="1" x14ac:dyDescent="0.3">
      <c r="X26" s="724"/>
    </row>
    <row r="27" spans="1:35" s="1" customFormat="1" x14ac:dyDescent="0.3">
      <c r="A27" s="20"/>
      <c r="B27" s="5"/>
      <c r="C27" s="39"/>
      <c r="D27" s="39"/>
      <c r="E27" s="51"/>
      <c r="F27" s="5"/>
      <c r="G27" s="21" t="s">
        <v>274</v>
      </c>
      <c r="H27" s="22">
        <f t="shared" ref="H27" si="7">H25</f>
        <v>399665</v>
      </c>
      <c r="I27" s="22">
        <f>I25</f>
        <v>39965</v>
      </c>
      <c r="J27" s="22">
        <f>J25</f>
        <v>439630</v>
      </c>
      <c r="K27" s="124">
        <f>IF(H27=0," ",(J27-H27)/H27)</f>
        <v>9.9996246856742521E-2</v>
      </c>
      <c r="M27" s="22">
        <f>M25</f>
        <v>422277</v>
      </c>
      <c r="N27" s="22">
        <f>N25</f>
        <v>422277</v>
      </c>
      <c r="P27" s="136">
        <f>P25</f>
        <v>0</v>
      </c>
      <c r="S27" s="22">
        <f>S25</f>
        <v>473612</v>
      </c>
      <c r="T27" s="220"/>
      <c r="U27" s="22">
        <f>U25</f>
        <v>355234</v>
      </c>
      <c r="V27" s="220"/>
      <c r="W27" s="22">
        <f>W25</f>
        <v>118378</v>
      </c>
      <c r="X27" s="725">
        <f>X25</f>
        <v>0</v>
      </c>
    </row>
    <row r="30" spans="1:35" ht="14.4" thickBot="1" x14ac:dyDescent="0.35">
      <c r="S30" s="298">
        <f>S27+S18+S8</f>
        <v>4178832</v>
      </c>
      <c r="U30" s="298">
        <f>U27+U18+U8</f>
        <v>2282493.7559000002</v>
      </c>
      <c r="W30" s="298">
        <f>W27+W18+W8</f>
        <v>1896338.2441</v>
      </c>
      <c r="X30" s="722">
        <f>S30-U30-W30</f>
        <v>0</v>
      </c>
    </row>
    <row r="31" spans="1:35" ht="14.4" thickTop="1" x14ac:dyDescent="0.3"/>
    <row r="32" spans="1:35" x14ac:dyDescent="0.3">
      <c r="U32" s="745">
        <f>U30/S30</f>
        <v>0.54620376121844583</v>
      </c>
      <c r="W32" s="745">
        <f>W30/S30</f>
        <v>0.45379623878155428</v>
      </c>
    </row>
  </sheetData>
  <dataConsolidate/>
  <mergeCells count="6">
    <mergeCell ref="AA2:AF2"/>
    <mergeCell ref="A2:G2"/>
    <mergeCell ref="S1:S3"/>
    <mergeCell ref="T1:U3"/>
    <mergeCell ref="V1:W3"/>
    <mergeCell ref="X1:X3"/>
  </mergeCells>
  <printOptions horizontalCentered="1"/>
  <pageMargins left="0.5" right="0.5" top="0.75" bottom="0.75" header="0.5" footer="0.25"/>
  <pageSetup scale="90" fitToHeight="20" orientation="landscape" r:id="rId1"/>
  <headerFooter>
    <oddHeader>&amp;CFY23 BUDGET - &amp;A</oddHeader>
    <oddFooter>&amp;L&amp;12March 29, 2022&amp;C&amp;12Page &amp;P of &amp;N&amp;R&amp;12&amp;F / &amp;A</oddFooter>
  </headerFooter>
  <colBreaks count="1" manualBreakCount="1">
    <brk id="2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M26"/>
  <sheetViews>
    <sheetView workbookViewId="0">
      <selection activeCell="I29" sqref="I29"/>
    </sheetView>
  </sheetViews>
  <sheetFormatPr defaultColWidth="9.109375" defaultRowHeight="14.4" x14ac:dyDescent="0.3"/>
  <cols>
    <col min="1" max="1" width="16.6640625" style="435" customWidth="1"/>
    <col min="2" max="2" width="20.88671875" style="435" customWidth="1"/>
    <col min="3" max="3" width="16.6640625" style="435" customWidth="1"/>
    <col min="4" max="4" width="2.6640625" style="435" customWidth="1"/>
    <col min="5" max="5" width="16.6640625" style="440" customWidth="1"/>
    <col min="6" max="6" width="6.109375" style="848" customWidth="1"/>
    <col min="7" max="7" width="16.6640625" style="440" customWidth="1"/>
    <col min="8" max="8" width="6.109375" style="848" customWidth="1"/>
    <col min="9" max="9" width="16.6640625" style="440" customWidth="1"/>
    <col min="10" max="10" width="12.6640625" style="848" customWidth="1"/>
    <col min="11" max="11" width="4.6640625" style="435" customWidth="1"/>
    <col min="12" max="12" width="17.6640625" style="435" bestFit="1" customWidth="1"/>
    <col min="13" max="13" width="4.6640625" style="435" customWidth="1"/>
    <col min="14" max="16384" width="9.109375" style="435"/>
  </cols>
  <sheetData>
    <row r="1" spans="1:13" s="434" customFormat="1" ht="23.4" x14ac:dyDescent="0.3">
      <c r="A1" s="442" t="s">
        <v>1174</v>
      </c>
      <c r="B1" s="433"/>
      <c r="F1" s="840"/>
      <c r="H1" s="840"/>
      <c r="J1" s="840"/>
    </row>
    <row r="2" spans="1:13" x14ac:dyDescent="0.3">
      <c r="E2" s="435"/>
      <c r="F2" s="840"/>
      <c r="G2" s="435"/>
      <c r="H2" s="840"/>
      <c r="I2" s="435"/>
      <c r="J2" s="840"/>
    </row>
    <row r="3" spans="1:13" x14ac:dyDescent="0.3">
      <c r="A3" s="443"/>
      <c r="B3" s="444"/>
      <c r="C3" s="444"/>
      <c r="D3" s="444"/>
      <c r="E3" s="444"/>
      <c r="F3" s="841"/>
      <c r="G3" s="444"/>
      <c r="H3" s="841"/>
      <c r="I3" s="444"/>
      <c r="J3" s="841"/>
      <c r="K3" s="444"/>
      <c r="L3" s="445"/>
    </row>
    <row r="4" spans="1:13" s="436" customFormat="1" ht="36" customHeight="1" x14ac:dyDescent="0.3">
      <c r="A4" s="446"/>
      <c r="B4" s="447"/>
      <c r="C4" s="448" t="s">
        <v>1104</v>
      </c>
      <c r="D4" s="448"/>
      <c r="E4" s="449" t="s">
        <v>1226</v>
      </c>
      <c r="F4" s="1008" t="s">
        <v>1547</v>
      </c>
      <c r="G4" s="449" t="s">
        <v>1226</v>
      </c>
      <c r="H4" s="1008" t="s">
        <v>1547</v>
      </c>
      <c r="I4" s="449" t="s">
        <v>1226</v>
      </c>
      <c r="J4" s="1008" t="s">
        <v>1547</v>
      </c>
      <c r="K4" s="447"/>
      <c r="L4" s="450"/>
      <c r="M4" s="435"/>
    </row>
    <row r="5" spans="1:13" s="436" customFormat="1" x14ac:dyDescent="0.3">
      <c r="A5" s="446"/>
      <c r="B5" s="447"/>
      <c r="C5" s="448" t="s">
        <v>1015</v>
      </c>
      <c r="D5" s="448"/>
      <c r="E5" s="449" t="s">
        <v>1140</v>
      </c>
      <c r="F5" s="1008"/>
      <c r="G5" s="449" t="s">
        <v>1264</v>
      </c>
      <c r="H5" s="1008"/>
      <c r="I5" s="449" t="s">
        <v>1094</v>
      </c>
      <c r="J5" s="1008"/>
      <c r="K5" s="447"/>
      <c r="L5" s="450"/>
      <c r="M5" s="435"/>
    </row>
    <row r="6" spans="1:13" s="436" customFormat="1" x14ac:dyDescent="0.3">
      <c r="A6" s="446"/>
      <c r="B6" s="447"/>
      <c r="C6" s="437"/>
      <c r="D6" s="437"/>
      <c r="E6" s="441" t="s">
        <v>1175</v>
      </c>
      <c r="F6" s="1009"/>
      <c r="G6" s="441" t="s">
        <v>1175</v>
      </c>
      <c r="H6" s="1009"/>
      <c r="I6" s="441" t="s">
        <v>1175</v>
      </c>
      <c r="J6" s="1009"/>
      <c r="K6" s="447"/>
      <c r="L6" s="450"/>
      <c r="M6" s="435"/>
    </row>
    <row r="7" spans="1:13" s="436" customFormat="1" x14ac:dyDescent="0.3">
      <c r="A7" s="446"/>
      <c r="B7" s="451"/>
      <c r="C7" s="448"/>
      <c r="D7" s="448"/>
      <c r="E7" s="452"/>
      <c r="F7" s="842"/>
      <c r="G7" s="452"/>
      <c r="H7" s="842"/>
      <c r="I7" s="452"/>
      <c r="J7" s="842"/>
      <c r="K7" s="447"/>
      <c r="L7" s="453"/>
      <c r="M7" s="435"/>
    </row>
    <row r="8" spans="1:13" ht="20.100000000000001" customHeight="1" x14ac:dyDescent="0.3">
      <c r="A8" s="454" t="s">
        <v>1170</v>
      </c>
      <c r="B8" s="455"/>
      <c r="C8" s="456">
        <f>'BUDGET DETAIL'!BR926</f>
        <v>31125124</v>
      </c>
      <c r="D8" s="457"/>
      <c r="E8" s="458">
        <f>'BUDGET DETAIL'!BW926</f>
        <v>31782984</v>
      </c>
      <c r="F8" s="843">
        <f>(E8-C8)/C8</f>
        <v>2.113598005264172E-2</v>
      </c>
      <c r="G8" s="458">
        <f>'BUDGET DETAIL'!BZ926</f>
        <v>31780984</v>
      </c>
      <c r="H8" s="843">
        <f>(G8-C8)/C8</f>
        <v>2.1071723280524118E-2</v>
      </c>
      <c r="I8" s="458">
        <f>'BUDGET DETAIL'!CA926</f>
        <v>31934835</v>
      </c>
      <c r="J8" s="843">
        <f>(I8-C8)/C8</f>
        <v>2.6014707604056452E-2</v>
      </c>
      <c r="K8" s="455"/>
      <c r="L8" s="459" t="s">
        <v>1510</v>
      </c>
    </row>
    <row r="9" spans="1:13" ht="20.100000000000001" customHeight="1" x14ac:dyDescent="0.3">
      <c r="A9" s="460"/>
      <c r="B9" s="461" t="s">
        <v>1171</v>
      </c>
      <c r="C9" s="462">
        <f>'BUDGET DETAIL'!BR497</f>
        <v>9368644</v>
      </c>
      <c r="D9" s="463"/>
      <c r="E9" s="462">
        <f>'BUDGET DETAIL'!BW497</f>
        <v>9649704</v>
      </c>
      <c r="F9" s="844">
        <f>(E9-C9)/C9</f>
        <v>3.0000072582542361E-2</v>
      </c>
      <c r="G9" s="462">
        <f>'BUDGET DETAIL'!BZ497</f>
        <v>9649704</v>
      </c>
      <c r="H9" s="844">
        <f>(G9-C9)/C9</f>
        <v>3.0000072582542361E-2</v>
      </c>
      <c r="I9" s="462">
        <f>'BUDGET DETAIL'!CA497</f>
        <v>9735523</v>
      </c>
      <c r="J9" s="844">
        <f>(I9-C9)/C9</f>
        <v>3.9160309645664838E-2</v>
      </c>
      <c r="K9" s="455"/>
      <c r="L9" s="464" t="s">
        <v>1509</v>
      </c>
    </row>
    <row r="10" spans="1:13" ht="20.100000000000001" customHeight="1" x14ac:dyDescent="0.3">
      <c r="A10" s="460"/>
      <c r="B10" s="461" t="s">
        <v>1579</v>
      </c>
      <c r="C10" s="462">
        <f>'BUDGET DETAIL'!BR501</f>
        <v>8476833</v>
      </c>
      <c r="D10" s="463"/>
      <c r="E10" s="439">
        <f>'BUDGET DETAIL'!BW501</f>
        <v>8847182</v>
      </c>
      <c r="F10" s="844">
        <f>(E10-C10)/C10</f>
        <v>4.3689547735575304E-2</v>
      </c>
      <c r="G10" s="439">
        <f>'BUDGET DETAIL'!BZ501</f>
        <v>8847182</v>
      </c>
      <c r="H10" s="844">
        <f>(G10-C10)/C10</f>
        <v>4.3689547735575304E-2</v>
      </c>
      <c r="I10" s="439">
        <f>'BUDGET DETAIL'!CA501</f>
        <v>8776844</v>
      </c>
      <c r="J10" s="844">
        <f>(I10-C10)/C10</f>
        <v>3.5391873356476408E-2</v>
      </c>
      <c r="K10" s="455"/>
      <c r="L10" s="464" t="s">
        <v>1172</v>
      </c>
    </row>
    <row r="11" spans="1:13" ht="20.100000000000001" customHeight="1" x14ac:dyDescent="0.3">
      <c r="A11" s="460"/>
      <c r="B11" s="461" t="s">
        <v>1059</v>
      </c>
      <c r="C11" s="462">
        <f>'BUDGET DETAIL'!BR504</f>
        <v>419370</v>
      </c>
      <c r="D11" s="463"/>
      <c r="E11" s="439">
        <f>'BUDGET DETAIL'!BW504</f>
        <v>431952</v>
      </c>
      <c r="F11" s="844">
        <f>(E11-C11)/C11</f>
        <v>3.0002146076257244E-2</v>
      </c>
      <c r="G11" s="439">
        <f>'BUDGET DETAIL'!BZ504</f>
        <v>431952</v>
      </c>
      <c r="H11" s="844">
        <f>(G11-C11)/C11</f>
        <v>3.0002146076257244E-2</v>
      </c>
      <c r="I11" s="439">
        <f>'BUDGET DETAIL'!CA504</f>
        <v>442571</v>
      </c>
      <c r="J11" s="844">
        <f>(I11-C11)/C11</f>
        <v>5.5323461382550017E-2</v>
      </c>
      <c r="K11" s="455"/>
      <c r="L11" s="464" t="s">
        <v>1509</v>
      </c>
    </row>
    <row r="12" spans="1:13" x14ac:dyDescent="0.3">
      <c r="A12" s="460"/>
      <c r="B12" s="465"/>
      <c r="C12" s="463"/>
      <c r="D12" s="463"/>
      <c r="E12" s="439"/>
      <c r="F12" s="845"/>
      <c r="G12" s="439"/>
      <c r="H12" s="845"/>
      <c r="I12" s="439"/>
      <c r="J12" s="845"/>
      <c r="K12" s="455"/>
      <c r="L12" s="466"/>
    </row>
    <row r="13" spans="1:13" x14ac:dyDescent="0.3">
      <c r="A13" s="460"/>
      <c r="B13" s="461" t="s">
        <v>1177</v>
      </c>
      <c r="C13" s="439">
        <f>C8-C9-C10-C11</f>
        <v>12860277</v>
      </c>
      <c r="D13" s="463"/>
      <c r="E13" s="439">
        <f>E8-E9-E10-E11</f>
        <v>12854146</v>
      </c>
      <c r="F13" s="844">
        <f>(E13-C13)/C13</f>
        <v>-4.7673934239519103E-4</v>
      </c>
      <c r="G13" s="439">
        <f>G8-G9-G10-G11</f>
        <v>12852146</v>
      </c>
      <c r="H13" s="844">
        <f>(G13-C13)/C13</f>
        <v>-6.3225698793268606E-4</v>
      </c>
      <c r="I13" s="439">
        <f>I8-I9-I10-I11</f>
        <v>12979897</v>
      </c>
      <c r="J13" s="844">
        <f>(I13-C13)/C13</f>
        <v>9.301510379597578E-3</v>
      </c>
      <c r="K13" s="455"/>
      <c r="L13" s="466"/>
    </row>
    <row r="14" spans="1:13" x14ac:dyDescent="0.3">
      <c r="A14" s="460"/>
      <c r="B14" s="465"/>
      <c r="C14" s="463"/>
      <c r="D14" s="463"/>
      <c r="E14" s="439"/>
      <c r="F14" s="845"/>
      <c r="G14" s="439"/>
      <c r="H14" s="845"/>
      <c r="I14" s="439"/>
      <c r="J14" s="845"/>
      <c r="K14" s="455"/>
      <c r="L14" s="466"/>
    </row>
    <row r="15" spans="1:13" ht="20.100000000000001" customHeight="1" x14ac:dyDescent="0.3">
      <c r="A15" s="470"/>
      <c r="B15" s="851" t="s">
        <v>1578</v>
      </c>
      <c r="C15" s="468"/>
      <c r="D15" s="468"/>
      <c r="E15" s="882">
        <f>'ABOVE GUIDELINES'!L40</f>
        <v>315952</v>
      </c>
      <c r="F15" s="883"/>
      <c r="G15" s="882">
        <f>'ABOVE GUIDELINES'!L40</f>
        <v>315952</v>
      </c>
      <c r="H15" s="883"/>
      <c r="I15" s="882">
        <f>'ABOVE GUIDELINES'!L40</f>
        <v>315952</v>
      </c>
      <c r="J15" s="846"/>
      <c r="K15" s="455"/>
      <c r="L15" s="466"/>
    </row>
    <row r="16" spans="1:13" ht="20.100000000000001" customHeight="1" x14ac:dyDescent="0.3">
      <c r="A16" s="470"/>
      <c r="B16" s="467"/>
      <c r="C16" s="468"/>
      <c r="D16" s="468"/>
      <c r="E16" s="469"/>
      <c r="F16" s="846"/>
      <c r="G16" s="469"/>
      <c r="H16" s="846"/>
      <c r="I16" s="469"/>
      <c r="J16" s="846"/>
      <c r="K16" s="455"/>
      <c r="L16" s="466"/>
    </row>
    <row r="17" spans="1:12" ht="20.100000000000001" customHeight="1" x14ac:dyDescent="0.3">
      <c r="A17" s="470"/>
      <c r="B17" s="467"/>
      <c r="C17" s="468"/>
      <c r="D17" s="468"/>
      <c r="E17" s="469"/>
      <c r="F17" s="846"/>
      <c r="G17" s="469"/>
      <c r="H17" s="846"/>
      <c r="I17" s="469"/>
      <c r="J17" s="846"/>
      <c r="K17" s="455"/>
      <c r="L17" s="466"/>
    </row>
    <row r="18" spans="1:12" x14ac:dyDescent="0.3">
      <c r="A18" s="1010" t="s">
        <v>1548</v>
      </c>
      <c r="B18" s="1011"/>
      <c r="C18" s="463"/>
      <c r="D18" s="463"/>
      <c r="E18" s="439"/>
      <c r="F18" s="845"/>
      <c r="G18" s="439"/>
      <c r="H18" s="845"/>
      <c r="I18" s="439"/>
      <c r="J18" s="845"/>
      <c r="K18" s="455"/>
      <c r="L18" s="466"/>
    </row>
    <row r="19" spans="1:12" ht="20.100000000000001" customHeight="1" x14ac:dyDescent="0.3">
      <c r="A19" s="1010"/>
      <c r="B19" s="1011"/>
      <c r="C19" s="438">
        <f>C8-C9-C10-C11</f>
        <v>12860277</v>
      </c>
      <c r="D19" s="463"/>
      <c r="E19" s="438">
        <f>E8-E9-E10-E11+E15+E16+E17</f>
        <v>13170098</v>
      </c>
      <c r="F19" s="844">
        <f>(E19-C19)/C19</f>
        <v>2.4091316229036125E-2</v>
      </c>
      <c r="G19" s="438">
        <f>G8-G9-G10-G11+G15+G16+G17</f>
        <v>13168098</v>
      </c>
      <c r="H19" s="844">
        <f>(G19-C19)/C19</f>
        <v>2.3935798583498629E-2</v>
      </c>
      <c r="I19" s="438">
        <f>I8-I9-I10-I11+I15+I16+I17</f>
        <v>13295849</v>
      </c>
      <c r="J19" s="844">
        <f>(I19-C19)/C19</f>
        <v>3.3869565951028892E-2</v>
      </c>
      <c r="K19" s="455"/>
      <c r="L19" s="466"/>
    </row>
    <row r="20" spans="1:12" x14ac:dyDescent="0.3">
      <c r="A20" s="460"/>
      <c r="B20" s="455"/>
      <c r="C20" s="462"/>
      <c r="D20" s="463"/>
      <c r="E20" s="439"/>
      <c r="F20" s="845"/>
      <c r="G20" s="439"/>
      <c r="H20" s="845"/>
      <c r="I20" s="439"/>
      <c r="J20" s="845"/>
      <c r="K20" s="455"/>
      <c r="L20" s="466"/>
    </row>
    <row r="21" spans="1:12" x14ac:dyDescent="0.3">
      <c r="A21" s="460"/>
      <c r="B21" s="455"/>
      <c r="C21" s="462"/>
      <c r="D21" s="463"/>
      <c r="E21" s="439"/>
      <c r="F21" s="845"/>
      <c r="G21" s="439"/>
      <c r="H21" s="845"/>
      <c r="I21" s="439"/>
      <c r="J21" s="845"/>
      <c r="K21" s="455"/>
      <c r="L21" s="466"/>
    </row>
    <row r="22" spans="1:12" ht="20.100000000000001" customHeight="1" x14ac:dyDescent="0.3">
      <c r="A22" s="471" t="s">
        <v>1176</v>
      </c>
      <c r="B22" s="455"/>
      <c r="C22" s="462">
        <f>C8</f>
        <v>31125124</v>
      </c>
      <c r="D22" s="463"/>
      <c r="E22" s="439">
        <f>E8+E15+E16</f>
        <v>32098936</v>
      </c>
      <c r="F22" s="844">
        <f>(E22-C22)/C22</f>
        <v>3.1287007884691478E-2</v>
      </c>
      <c r="G22" s="439">
        <f>G8+G15+G16</f>
        <v>32096936</v>
      </c>
      <c r="H22" s="844">
        <f>(G22-C22)/C22</f>
        <v>3.1222751112573881E-2</v>
      </c>
      <c r="I22" s="439">
        <f>I8+I15+I16</f>
        <v>32250787</v>
      </c>
      <c r="J22" s="844">
        <f>(I22-C22)/C22</f>
        <v>3.6165735436106211E-2</v>
      </c>
      <c r="K22" s="455"/>
      <c r="L22" s="466"/>
    </row>
    <row r="23" spans="1:12" x14ac:dyDescent="0.3">
      <c r="A23" s="460"/>
      <c r="B23" s="455"/>
      <c r="C23" s="462"/>
      <c r="D23" s="463"/>
      <c r="E23" s="839"/>
      <c r="F23" s="845"/>
      <c r="G23" s="439"/>
      <c r="H23" s="845"/>
      <c r="I23" s="439"/>
      <c r="J23" s="845"/>
      <c r="K23" s="455"/>
      <c r="L23" s="450"/>
    </row>
    <row r="24" spans="1:12" x14ac:dyDescent="0.3">
      <c r="A24" s="472"/>
      <c r="B24" s="473"/>
      <c r="C24" s="473"/>
      <c r="D24" s="473"/>
      <c r="E24" s="474"/>
      <c r="F24" s="847"/>
      <c r="G24" s="474"/>
      <c r="H24" s="847"/>
      <c r="I24" s="474"/>
      <c r="J24" s="847"/>
      <c r="K24" s="473"/>
      <c r="L24" s="475"/>
    </row>
    <row r="26" spans="1:12" x14ac:dyDescent="0.3">
      <c r="E26" s="825"/>
    </row>
  </sheetData>
  <mergeCells count="4">
    <mergeCell ref="F4:F6"/>
    <mergeCell ref="A18:B19"/>
    <mergeCell ref="H4:H6"/>
    <mergeCell ref="J4:J6"/>
  </mergeCells>
  <printOptions horizontalCentered="1"/>
  <pageMargins left="0.45" right="0.45" top="1" bottom="0.5" header="0.25" footer="0.25"/>
  <pageSetup scale="83" orientation="landscape" r:id="rId1"/>
  <headerFooter>
    <oddFooter>&amp;LMarch 29, 2022&amp;R&amp;A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70C0"/>
    <pageSetUpPr fitToPage="1"/>
  </sheetPr>
  <dimension ref="A2:D24"/>
  <sheetViews>
    <sheetView zoomScale="75" zoomScaleNormal="75" workbookViewId="0">
      <selection activeCell="U31" sqref="U31"/>
    </sheetView>
  </sheetViews>
  <sheetFormatPr defaultColWidth="9.109375" defaultRowHeight="14.4" x14ac:dyDescent="0.3"/>
  <cols>
    <col min="1" max="1" width="22.88671875" style="285" customWidth="1"/>
    <col min="2" max="2" width="18.6640625" style="353" customWidth="1"/>
    <col min="3" max="3" width="3.33203125" style="285" customWidth="1"/>
    <col min="4" max="16384" width="9.109375" style="285"/>
  </cols>
  <sheetData>
    <row r="2" spans="1:4" x14ac:dyDescent="0.3">
      <c r="A2" s="1012" t="s">
        <v>627</v>
      </c>
      <c r="B2" s="1012"/>
      <c r="C2" s="1012"/>
      <c r="D2" s="1012"/>
    </row>
    <row r="3" spans="1:4" ht="21" x14ac:dyDescent="0.4">
      <c r="A3" s="1013" t="s">
        <v>1263</v>
      </c>
      <c r="B3" s="1013"/>
      <c r="C3" s="1013"/>
      <c r="D3" s="1013"/>
    </row>
    <row r="4" spans="1:4" ht="21" x14ac:dyDescent="0.4">
      <c r="A4" s="348"/>
      <c r="B4" s="352"/>
      <c r="C4" s="348"/>
      <c r="D4" s="348"/>
    </row>
    <row r="5" spans="1:4" x14ac:dyDescent="0.3">
      <c r="A5" s="285" t="str">
        <f>'Exp By Function'!A7</f>
        <v>General Government</v>
      </c>
      <c r="B5" s="353">
        <f>'BUDGET DETAIL'!CA281</f>
        <v>1758942</v>
      </c>
      <c r="D5" s="211">
        <f t="shared" ref="D5:D15" si="0">B5/$B$17</f>
        <v>5.5079100925368801E-2</v>
      </c>
    </row>
    <row r="6" spans="1:4" x14ac:dyDescent="0.3">
      <c r="A6" s="285" t="str">
        <f>'Exp By Function'!A13</f>
        <v>Public Safety</v>
      </c>
      <c r="B6" s="353">
        <f>'BUDGET DETAIL'!CA491</f>
        <v>3082797</v>
      </c>
      <c r="D6" s="211">
        <f t="shared" si="0"/>
        <v>9.6533988667860657E-2</v>
      </c>
    </row>
    <row r="7" spans="1:4" x14ac:dyDescent="0.3">
      <c r="A7" s="285" t="str">
        <f>'Exp By Function'!A19</f>
        <v>Public Works</v>
      </c>
      <c r="B7" s="353">
        <f>'BUDGET DETAIL'!CA680</f>
        <v>1718252</v>
      </c>
      <c r="D7" s="211">
        <f t="shared" si="0"/>
        <v>5.3804943723679798E-2</v>
      </c>
    </row>
    <row r="8" spans="1:4" x14ac:dyDescent="0.3">
      <c r="A8" s="285" t="s">
        <v>482</v>
      </c>
      <c r="B8" s="353">
        <f>'BUDGET DETAIL'!CA754</f>
        <v>299442</v>
      </c>
      <c r="D8" s="211">
        <f t="shared" si="0"/>
        <v>9.3766571832921627E-3</v>
      </c>
    </row>
    <row r="9" spans="1:4" x14ac:dyDescent="0.3">
      <c r="A9" s="285" t="s">
        <v>492</v>
      </c>
      <c r="B9" s="353">
        <f>'BUDGET DETAIL'!CA838</f>
        <v>702767</v>
      </c>
      <c r="D9" s="211">
        <f t="shared" si="0"/>
        <v>2.2006282481183949E-2</v>
      </c>
    </row>
    <row r="10" spans="1:4" x14ac:dyDescent="0.3">
      <c r="A10" s="285" t="str">
        <f>'Exp By Function'!A37</f>
        <v>Debt Service</v>
      </c>
      <c r="B10" s="353">
        <f>'BUDGET DETAIL'!CA866</f>
        <v>1096864</v>
      </c>
      <c r="D10" s="211">
        <f t="shared" si="0"/>
        <v>3.4346944332106305E-2</v>
      </c>
    </row>
    <row r="11" spans="1:4" x14ac:dyDescent="0.3">
      <c r="A11" s="285" t="s">
        <v>1051</v>
      </c>
      <c r="B11" s="353">
        <f>'BUDGET DETAIL'!CA887</f>
        <v>1547146</v>
      </c>
      <c r="D11" s="211">
        <f t="shared" si="0"/>
        <v>4.8446970212935182E-2</v>
      </c>
    </row>
    <row r="12" spans="1:4" ht="28.8" x14ac:dyDescent="0.3">
      <c r="A12" s="349" t="s">
        <v>1054</v>
      </c>
      <c r="B12" s="354">
        <f>'BUDGET DETAIL'!CA898</f>
        <v>2351187</v>
      </c>
      <c r="D12" s="350">
        <f t="shared" si="0"/>
        <v>7.3624523189175714E-2</v>
      </c>
    </row>
    <row r="13" spans="1:4" x14ac:dyDescent="0.3">
      <c r="A13" s="285" t="s">
        <v>1053</v>
      </c>
      <c r="B13" s="353">
        <f>'BUDGET DETAIL'!CA907</f>
        <v>412500</v>
      </c>
      <c r="D13" s="211">
        <f t="shared" si="0"/>
        <v>1.2916929115180961E-2</v>
      </c>
    </row>
    <row r="14" spans="1:4" x14ac:dyDescent="0.3">
      <c r="A14" s="285" t="s">
        <v>1052</v>
      </c>
      <c r="B14" s="353">
        <f>'BUDGET DETAIL'!CA913</f>
        <v>10000</v>
      </c>
      <c r="D14" s="211">
        <f t="shared" si="0"/>
        <v>3.1313767551953848E-4</v>
      </c>
    </row>
    <row r="15" spans="1:4" x14ac:dyDescent="0.3">
      <c r="A15" s="285" t="s">
        <v>1055</v>
      </c>
      <c r="B15" s="355">
        <f>'BUDGET DETAIL'!CA508</f>
        <v>18954938</v>
      </c>
      <c r="D15" s="211">
        <f t="shared" si="0"/>
        <v>0.59355052249369689</v>
      </c>
    </row>
    <row r="16" spans="1:4" x14ac:dyDescent="0.3">
      <c r="A16" s="213"/>
      <c r="B16" s="356"/>
      <c r="C16" s="213"/>
      <c r="D16" s="214"/>
    </row>
    <row r="17" spans="1:4" x14ac:dyDescent="0.3">
      <c r="B17" s="353">
        <f>SUM(B5:B16)</f>
        <v>31934835</v>
      </c>
      <c r="D17" s="211">
        <f>SUM(D5:D16)</f>
        <v>1</v>
      </c>
    </row>
    <row r="20" spans="1:4" x14ac:dyDescent="0.3">
      <c r="A20" s="1014" t="s">
        <v>1101</v>
      </c>
      <c r="B20" s="1014"/>
      <c r="C20" s="1014"/>
    </row>
    <row r="21" spans="1:4" x14ac:dyDescent="0.3">
      <c r="A21" s="1014"/>
      <c r="B21" s="1014"/>
      <c r="C21" s="1014"/>
    </row>
    <row r="22" spans="1:4" x14ac:dyDescent="0.3">
      <c r="A22" s="1014"/>
      <c r="B22" s="1014"/>
      <c r="C22" s="1014"/>
    </row>
    <row r="23" spans="1:4" x14ac:dyDescent="0.3">
      <c r="A23" s="1014"/>
      <c r="B23" s="1014"/>
      <c r="C23" s="1014"/>
    </row>
    <row r="24" spans="1:4" x14ac:dyDescent="0.3">
      <c r="A24" s="1014"/>
      <c r="B24" s="1014"/>
      <c r="C24" s="1014"/>
    </row>
  </sheetData>
  <mergeCells count="3">
    <mergeCell ref="A2:D2"/>
    <mergeCell ref="A3:D3"/>
    <mergeCell ref="A20:C24"/>
  </mergeCells>
  <printOptions horizontalCentered="1" verticalCentered="1"/>
  <pageMargins left="0.25" right="0.25" top="0.5" bottom="0.5" header="0.3" footer="0.3"/>
  <pageSetup scale="81" orientation="landscape" r:id="rId1"/>
  <headerFooter>
    <oddFooter>&amp;LMarch 29, 2022</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70C0"/>
    <pageSetUpPr fitToPage="1"/>
  </sheetPr>
  <dimension ref="A2:D15"/>
  <sheetViews>
    <sheetView zoomScale="75" zoomScaleNormal="75" workbookViewId="0">
      <selection activeCell="Q27" sqref="Q27"/>
    </sheetView>
  </sheetViews>
  <sheetFormatPr defaultColWidth="9.109375" defaultRowHeight="14.4" x14ac:dyDescent="0.3"/>
  <cols>
    <col min="1" max="1" width="21.88671875" style="285" customWidth="1"/>
    <col min="2" max="2" width="12.6640625" style="358" bestFit="1" customWidth="1"/>
    <col min="3" max="3" width="3.33203125" style="285" customWidth="1"/>
    <col min="4" max="16384" width="9.109375" style="285"/>
  </cols>
  <sheetData>
    <row r="2" spans="1:4" x14ac:dyDescent="0.3">
      <c r="A2" s="1012" t="s">
        <v>627</v>
      </c>
      <c r="B2" s="1012"/>
      <c r="C2" s="1012"/>
      <c r="D2" s="1012"/>
    </row>
    <row r="3" spans="1:4" ht="21" x14ac:dyDescent="0.4">
      <c r="A3" s="1013" t="s">
        <v>1263</v>
      </c>
      <c r="B3" s="1013"/>
      <c r="C3" s="1013"/>
      <c r="D3" s="1013"/>
    </row>
    <row r="4" spans="1:4" ht="21" x14ac:dyDescent="0.4">
      <c r="A4" s="348"/>
      <c r="B4" s="357"/>
      <c r="C4" s="348"/>
      <c r="D4" s="348"/>
    </row>
    <row r="5" spans="1:4" x14ac:dyDescent="0.3">
      <c r="A5" s="285" t="s">
        <v>1056</v>
      </c>
      <c r="B5" s="358">
        <f>'BUDGET DETAIL'!CA497</f>
        <v>9735523</v>
      </c>
      <c r="D5" s="211">
        <f>B5/$B$9</f>
        <v>0.51361407776696499</v>
      </c>
    </row>
    <row r="6" spans="1:4" x14ac:dyDescent="0.3">
      <c r="A6" s="285" t="s">
        <v>1057</v>
      </c>
      <c r="B6" s="358">
        <f>'BUDGET DETAIL'!CA499</f>
        <v>8776844</v>
      </c>
      <c r="D6" s="211">
        <f>B6/$B$9</f>
        <v>0.46303733623396709</v>
      </c>
    </row>
    <row r="7" spans="1:4" x14ac:dyDescent="0.3">
      <c r="A7" s="285" t="s">
        <v>1058</v>
      </c>
      <c r="B7" s="358">
        <f>'BUDGET DETAIL'!CA500</f>
        <v>0</v>
      </c>
      <c r="D7" s="211">
        <f>B7/$B$9</f>
        <v>0</v>
      </c>
    </row>
    <row r="8" spans="1:4" x14ac:dyDescent="0.3">
      <c r="A8" s="285" t="s">
        <v>1059</v>
      </c>
      <c r="B8" s="358">
        <f>'BUDGET DETAIL'!CA503</f>
        <v>442571</v>
      </c>
      <c r="D8" s="211">
        <f>B8/$B$9</f>
        <v>2.3348585999067896E-2</v>
      </c>
    </row>
    <row r="9" spans="1:4" x14ac:dyDescent="0.3">
      <c r="B9" s="359">
        <f>SUM(B5:B8)</f>
        <v>18954938</v>
      </c>
      <c r="C9" s="86"/>
      <c r="D9" s="351">
        <f>SUM(D5:D8)</f>
        <v>1</v>
      </c>
    </row>
    <row r="11" spans="1:4" x14ac:dyDescent="0.3">
      <c r="A11" s="1014" t="s">
        <v>1101</v>
      </c>
      <c r="B11" s="1014"/>
      <c r="C11" s="1014"/>
    </row>
    <row r="12" spans="1:4" x14ac:dyDescent="0.3">
      <c r="A12" s="1014"/>
      <c r="B12" s="1014"/>
      <c r="C12" s="1014"/>
    </row>
    <row r="13" spans="1:4" x14ac:dyDescent="0.3">
      <c r="A13" s="1014"/>
      <c r="B13" s="1014"/>
      <c r="C13" s="1014"/>
    </row>
    <row r="14" spans="1:4" x14ac:dyDescent="0.3">
      <c r="A14" s="1014"/>
      <c r="B14" s="1014"/>
      <c r="C14" s="1014"/>
    </row>
    <row r="15" spans="1:4" x14ac:dyDescent="0.3">
      <c r="A15" s="1014"/>
      <c r="B15" s="1014"/>
      <c r="C15" s="1014"/>
    </row>
  </sheetData>
  <mergeCells count="3">
    <mergeCell ref="A2:D2"/>
    <mergeCell ref="A3:D3"/>
    <mergeCell ref="A11:C15"/>
  </mergeCells>
  <printOptions horizontalCentered="1" verticalCentered="1"/>
  <pageMargins left="0.25" right="0.25" top="0.5" bottom="0.5" header="0.3" footer="0.3"/>
  <pageSetup scale="85" orientation="landscape" r:id="rId1"/>
  <headerFooter>
    <oddFooter>&amp;LMarch 29, 2022</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
  <dimension ref="A1:R376"/>
  <sheetViews>
    <sheetView workbookViewId="0">
      <pane xSplit="4" ySplit="5" topLeftCell="E15" activePane="bottomRight" state="frozen"/>
      <selection activeCell="J29" sqref="J29"/>
      <selection pane="topRight" activeCell="J29" sqref="J29"/>
      <selection pane="bottomLeft" activeCell="J29" sqref="J29"/>
      <selection pane="bottomRight" activeCell="R38" sqref="R38"/>
    </sheetView>
  </sheetViews>
  <sheetFormatPr defaultColWidth="9.109375" defaultRowHeight="13.8" x14ac:dyDescent="0.3"/>
  <cols>
    <col min="1" max="1" width="1.6640625" style="11" customWidth="1"/>
    <col min="2" max="2" width="1.6640625" style="3" customWidth="1"/>
    <col min="3" max="4" width="1.6640625" style="37" customWidth="1"/>
    <col min="5" max="5" width="1.6640625" style="49" customWidth="1"/>
    <col min="6" max="6" width="1.6640625" style="3" customWidth="1"/>
    <col min="7" max="7" width="32.6640625" style="3" customWidth="1"/>
    <col min="8" max="9" width="13.6640625" style="16" hidden="1" customWidth="1"/>
    <col min="10" max="15" width="13.6640625" style="16" customWidth="1"/>
    <col min="16" max="16" width="8.6640625" style="300" customWidth="1"/>
    <col min="17" max="17" width="6.33203125" style="157" customWidth="1"/>
    <col min="18" max="18" width="13.5546875" style="3" bestFit="1" customWidth="1"/>
    <col min="19" max="16384" width="9.109375" style="3"/>
  </cols>
  <sheetData>
    <row r="1" spans="1:18" ht="18" x14ac:dyDescent="0.3">
      <c r="A1" s="1015" t="s">
        <v>1250</v>
      </c>
      <c r="B1" s="1015"/>
      <c r="C1" s="1015"/>
      <c r="D1" s="1015"/>
      <c r="E1" s="1015"/>
      <c r="F1" s="1015"/>
      <c r="G1" s="1015"/>
      <c r="H1" s="1015"/>
      <c r="I1" s="1015"/>
      <c r="J1" s="1015"/>
      <c r="K1" s="1015"/>
      <c r="L1" s="1015"/>
      <c r="M1" s="1015"/>
      <c r="N1" s="1015"/>
      <c r="O1" s="1015"/>
      <c r="P1" s="1015"/>
    </row>
    <row r="2" spans="1:18" x14ac:dyDescent="0.3">
      <c r="K2" s="26"/>
      <c r="L2" s="26"/>
    </row>
    <row r="3" spans="1:18" s="29" customFormat="1" x14ac:dyDescent="0.3">
      <c r="C3" s="43"/>
      <c r="D3" s="43"/>
      <c r="E3" s="46"/>
      <c r="H3" s="45" t="s">
        <v>469</v>
      </c>
      <c r="I3" s="45" t="s">
        <v>632</v>
      </c>
      <c r="J3" s="45" t="s">
        <v>851</v>
      </c>
      <c r="K3" s="45" t="s">
        <v>911</v>
      </c>
      <c r="L3" s="45" t="s">
        <v>1104</v>
      </c>
      <c r="M3" s="190" t="s">
        <v>1226</v>
      </c>
      <c r="N3" s="190" t="s">
        <v>1226</v>
      </c>
      <c r="O3" s="190" t="s">
        <v>1226</v>
      </c>
      <c r="P3" s="921" t="s">
        <v>1254</v>
      </c>
      <c r="Q3" s="46"/>
    </row>
    <row r="4" spans="1:18" s="29" customFormat="1" x14ac:dyDescent="0.3">
      <c r="C4" s="43"/>
      <c r="D4" s="43"/>
      <c r="E4" s="46"/>
      <c r="H4" s="45" t="s">
        <v>0</v>
      </c>
      <c r="I4" s="45" t="s">
        <v>0</v>
      </c>
      <c r="J4" s="45" t="s">
        <v>0</v>
      </c>
      <c r="K4" s="45" t="s">
        <v>0</v>
      </c>
      <c r="L4" s="45" t="s">
        <v>871</v>
      </c>
      <c r="M4" s="190" t="s">
        <v>1140</v>
      </c>
      <c r="N4" s="190" t="s">
        <v>1160</v>
      </c>
      <c r="O4" s="190" t="s">
        <v>631</v>
      </c>
      <c r="P4" s="921" t="s">
        <v>1252</v>
      </c>
      <c r="Q4" s="46"/>
    </row>
    <row r="5" spans="1:18" s="12" customFormat="1" x14ac:dyDescent="0.3">
      <c r="C5" s="35"/>
      <c r="D5" s="35"/>
      <c r="E5" s="47"/>
      <c r="H5" s="13"/>
      <c r="I5" s="13"/>
      <c r="J5" s="13"/>
      <c r="K5" s="13"/>
      <c r="L5" s="13"/>
      <c r="M5" s="13"/>
      <c r="N5" s="13"/>
      <c r="O5" s="13"/>
      <c r="P5" s="922"/>
      <c r="Q5" s="47"/>
    </row>
    <row r="6" spans="1:18" s="1" customFormat="1" ht="20.100000000000001" customHeight="1" x14ac:dyDescent="0.3">
      <c r="A6" s="63" t="s">
        <v>344</v>
      </c>
      <c r="B6" s="59"/>
      <c r="C6" s="60"/>
      <c r="D6" s="60"/>
      <c r="E6" s="61"/>
      <c r="F6" s="59"/>
      <c r="G6" s="59"/>
      <c r="H6" s="62"/>
      <c r="I6" s="62"/>
      <c r="J6" s="62"/>
      <c r="K6" s="62"/>
      <c r="L6" s="62"/>
      <c r="M6" s="62"/>
      <c r="N6" s="62"/>
      <c r="O6" s="62"/>
      <c r="P6" s="923"/>
      <c r="Q6" s="158"/>
    </row>
    <row r="7" spans="1:18" s="1" customFormat="1" ht="15.6" x14ac:dyDescent="0.3">
      <c r="A7" s="14" t="s">
        <v>1</v>
      </c>
      <c r="B7" s="2"/>
      <c r="C7" s="36"/>
      <c r="D7" s="36"/>
      <c r="E7" s="48"/>
      <c r="F7" s="2"/>
      <c r="G7" s="2"/>
      <c r="H7" s="15"/>
      <c r="I7" s="15"/>
      <c r="J7" s="15"/>
      <c r="K7" s="15"/>
      <c r="L7" s="15"/>
      <c r="M7" s="15"/>
      <c r="N7" s="15"/>
      <c r="O7" s="15"/>
      <c r="P7" s="924"/>
      <c r="Q7" s="158"/>
    </row>
    <row r="8" spans="1:18" s="19" customFormat="1" x14ac:dyDescent="0.3">
      <c r="A8" s="29"/>
      <c r="B8" s="9"/>
      <c r="C8" s="43"/>
      <c r="D8" s="43"/>
      <c r="E8" s="27"/>
      <c r="F8" s="4"/>
      <c r="G8" s="4" t="s">
        <v>114</v>
      </c>
      <c r="H8" s="18">
        <f>'BUDGET DETAIL'!S6</f>
        <v>0</v>
      </c>
      <c r="I8" s="18">
        <f>'BUDGET DETAIL'!AF6</f>
        <v>0</v>
      </c>
      <c r="J8" s="18">
        <f>'BUDGET DETAIL'!AS6</f>
        <v>0</v>
      </c>
      <c r="K8" s="18">
        <f>'BUDGET DETAIL'!BF6</f>
        <v>0</v>
      </c>
      <c r="L8" s="18">
        <f>'BUDGET DETAIL'!BR6</f>
        <v>50</v>
      </c>
      <c r="M8" s="18">
        <f>'BUDGET DETAIL'!BW6</f>
        <v>50</v>
      </c>
      <c r="N8" s="18">
        <f>'BUDGET DETAIL'!BZ6</f>
        <v>50</v>
      </c>
      <c r="O8" s="18">
        <f>'BUDGET DETAIL'!CA6</f>
        <v>50</v>
      </c>
      <c r="P8" s="925">
        <f>(O8-L8)/L8</f>
        <v>0</v>
      </c>
      <c r="Q8" s="159"/>
    </row>
    <row r="9" spans="1:18" x14ac:dyDescent="0.3">
      <c r="A9" s="12"/>
      <c r="B9" s="1"/>
      <c r="C9" s="35"/>
      <c r="D9" s="35"/>
    </row>
    <row r="10" spans="1:18" s="1" customFormat="1" x14ac:dyDescent="0.3">
      <c r="A10" s="29"/>
      <c r="B10" s="9"/>
      <c r="C10" s="43"/>
      <c r="D10" s="43"/>
      <c r="E10" s="51"/>
      <c r="F10" s="5"/>
      <c r="G10" s="21" t="s">
        <v>115</v>
      </c>
      <c r="H10" s="22">
        <f t="shared" ref="H10:O10" si="0">SUM(H8)</f>
        <v>0</v>
      </c>
      <c r="I10" s="22">
        <f t="shared" si="0"/>
        <v>0</v>
      </c>
      <c r="J10" s="22">
        <f t="shared" si="0"/>
        <v>0</v>
      </c>
      <c r="K10" s="22">
        <f t="shared" si="0"/>
        <v>0</v>
      </c>
      <c r="L10" s="22">
        <f t="shared" si="0"/>
        <v>50</v>
      </c>
      <c r="M10" s="22">
        <f t="shared" si="0"/>
        <v>50</v>
      </c>
      <c r="N10" s="22">
        <f t="shared" si="0"/>
        <v>50</v>
      </c>
      <c r="O10" s="22">
        <f t="shared" si="0"/>
        <v>50</v>
      </c>
      <c r="P10" s="926">
        <f>(O10-L10)/L10</f>
        <v>0</v>
      </c>
      <c r="Q10" s="158"/>
    </row>
    <row r="11" spans="1:18" ht="26.1" customHeight="1" x14ac:dyDescent="0.3">
      <c r="A11" s="12"/>
      <c r="B11" s="1"/>
      <c r="C11" s="35"/>
      <c r="D11" s="35"/>
    </row>
    <row r="12" spans="1:18" s="1" customFormat="1" ht="15.6" x14ac:dyDescent="0.3">
      <c r="A12" s="14" t="s">
        <v>1182</v>
      </c>
      <c r="B12" s="2"/>
      <c r="C12" s="36"/>
      <c r="D12" s="36"/>
      <c r="E12" s="48"/>
      <c r="F12" s="2"/>
      <c r="G12" s="2"/>
      <c r="H12" s="15"/>
      <c r="I12" s="15"/>
      <c r="J12" s="15"/>
      <c r="K12" s="15"/>
      <c r="L12" s="15"/>
      <c r="M12" s="15"/>
      <c r="N12" s="15"/>
      <c r="O12" s="15"/>
      <c r="P12" s="924"/>
      <c r="Q12" s="158"/>
      <c r="R12" s="3"/>
    </row>
    <row r="13" spans="1:18" s="1" customFormat="1" x14ac:dyDescent="0.3">
      <c r="A13" s="25"/>
      <c r="B13" s="6"/>
      <c r="C13" s="41"/>
      <c r="D13" s="41"/>
      <c r="E13" s="52"/>
      <c r="F13" s="6"/>
      <c r="G13" s="75" t="s">
        <v>369</v>
      </c>
      <c r="H13" s="26">
        <f>'BUDGET DETAIL'!S18</f>
        <v>132068.15</v>
      </c>
      <c r="I13" s="26">
        <f>'BUDGET DETAIL'!AF18</f>
        <v>288093.51</v>
      </c>
      <c r="J13" s="26">
        <f>'BUDGET DETAIL'!AS18</f>
        <v>194506.19</v>
      </c>
      <c r="K13" s="26">
        <f>'BUDGET DETAIL'!BF18</f>
        <v>209488.4</v>
      </c>
      <c r="L13" s="26">
        <f>'BUDGET DETAIL'!BR18</f>
        <v>213683</v>
      </c>
      <c r="M13" s="26">
        <f>'BUDGET DETAIL'!BW18</f>
        <v>214395</v>
      </c>
      <c r="N13" s="26">
        <f>'BUDGET DETAIL'!BZ18</f>
        <v>214395</v>
      </c>
      <c r="O13" s="26">
        <f>'BUDGET DETAIL'!CA18</f>
        <v>227735</v>
      </c>
      <c r="P13" s="397">
        <f>(O13-L13)/L13</f>
        <v>6.5760963670483841E-2</v>
      </c>
      <c r="Q13" s="158"/>
    </row>
    <row r="14" spans="1:18" s="1" customFormat="1" x14ac:dyDescent="0.3">
      <c r="A14" s="25"/>
      <c r="B14" s="6"/>
      <c r="C14" s="41"/>
      <c r="D14" s="41"/>
      <c r="E14" s="52"/>
      <c r="F14" s="6"/>
      <c r="G14" s="75" t="s">
        <v>11</v>
      </c>
      <c r="H14" s="26">
        <f>'BUDGET DETAIL'!S27</f>
        <v>116721.61</v>
      </c>
      <c r="I14" s="26">
        <f>'BUDGET DETAIL'!AF27</f>
        <v>64655.51</v>
      </c>
      <c r="J14" s="26">
        <f>'BUDGET DETAIL'!AS27</f>
        <v>69982.22</v>
      </c>
      <c r="K14" s="26">
        <f>'BUDGET DETAIL'!BF27</f>
        <v>72097.7</v>
      </c>
      <c r="L14" s="26">
        <f>'BUDGET DETAIL'!BR27</f>
        <v>71868</v>
      </c>
      <c r="M14" s="26">
        <f>'BUDGET DETAIL'!BW27</f>
        <v>72989</v>
      </c>
      <c r="N14" s="26">
        <f>'BUDGET DETAIL'!BZ27</f>
        <v>72989</v>
      </c>
      <c r="O14" s="26">
        <f>'BUDGET DETAIL'!CA27</f>
        <v>81402</v>
      </c>
      <c r="P14" s="397">
        <f>(O14-L14)/L14</f>
        <v>0.13265987644014027</v>
      </c>
      <c r="Q14" s="158"/>
    </row>
    <row r="15" spans="1:18" s="19" customFormat="1" x14ac:dyDescent="0.3">
      <c r="A15" s="29"/>
      <c r="B15" s="9"/>
      <c r="C15" s="43"/>
      <c r="D15" s="43"/>
      <c r="E15" s="27"/>
      <c r="F15" s="8"/>
      <c r="G15" s="8" t="s">
        <v>1184</v>
      </c>
      <c r="H15" s="28">
        <f t="shared" ref="H15:O15" si="1">H13+H14</f>
        <v>248789.76000000001</v>
      </c>
      <c r="I15" s="28">
        <f t="shared" si="1"/>
        <v>352749.02</v>
      </c>
      <c r="J15" s="28">
        <f t="shared" si="1"/>
        <v>264488.41000000003</v>
      </c>
      <c r="K15" s="28">
        <f t="shared" si="1"/>
        <v>281586.09999999998</v>
      </c>
      <c r="L15" s="28">
        <f t="shared" si="1"/>
        <v>285551</v>
      </c>
      <c r="M15" s="28">
        <f t="shared" si="1"/>
        <v>287384</v>
      </c>
      <c r="N15" s="28">
        <f t="shared" si="1"/>
        <v>287384</v>
      </c>
      <c r="O15" s="28">
        <f t="shared" si="1"/>
        <v>309137</v>
      </c>
      <c r="P15" s="925">
        <f>(O15-L15)/L15</f>
        <v>8.2598204874085535E-2</v>
      </c>
      <c r="Q15" s="159"/>
    </row>
    <row r="16" spans="1:18" x14ac:dyDescent="0.3">
      <c r="A16" s="12"/>
      <c r="B16" s="1"/>
      <c r="C16" s="35"/>
      <c r="D16" s="35"/>
    </row>
    <row r="17" spans="1:18" s="19" customFormat="1" x14ac:dyDescent="0.3">
      <c r="A17" s="29"/>
      <c r="B17" s="9"/>
      <c r="C17" s="43"/>
      <c r="D17" s="43"/>
      <c r="E17" s="27"/>
      <c r="F17" s="8"/>
      <c r="G17" s="8" t="s">
        <v>1185</v>
      </c>
      <c r="H17" s="28">
        <f>'BUDGET DETAIL'!S39</f>
        <v>13701.81</v>
      </c>
      <c r="I17" s="28">
        <f>'BUDGET DETAIL'!AF39</f>
        <v>12600.39</v>
      </c>
      <c r="J17" s="28">
        <f>'BUDGET DETAIL'!AS39</f>
        <v>10496.91</v>
      </c>
      <c r="K17" s="28">
        <f>'BUDGET DETAIL'!BF39</f>
        <v>8361.84</v>
      </c>
      <c r="L17" s="28">
        <f>'BUDGET DETAIL'!BR39</f>
        <v>14111</v>
      </c>
      <c r="M17" s="28">
        <f>'BUDGET DETAIL'!BW39</f>
        <v>14111</v>
      </c>
      <c r="N17" s="28">
        <f>'BUDGET DETAIL'!BZ39</f>
        <v>14111</v>
      </c>
      <c r="O17" s="28">
        <f>'BUDGET DETAIL'!CA39</f>
        <v>14111</v>
      </c>
      <c r="P17" s="925">
        <f>(O17-L17)/L17</f>
        <v>0</v>
      </c>
      <c r="Q17" s="159"/>
    </row>
    <row r="18" spans="1:18" ht="9.9" customHeight="1" x14ac:dyDescent="0.3">
      <c r="A18" s="12"/>
      <c r="B18" s="1"/>
      <c r="C18" s="35"/>
      <c r="D18" s="35"/>
    </row>
    <row r="19" spans="1:18" s="1" customFormat="1" x14ac:dyDescent="0.3">
      <c r="A19" s="29"/>
      <c r="B19" s="9"/>
      <c r="C19" s="43"/>
      <c r="D19" s="43"/>
      <c r="E19" s="51"/>
      <c r="F19" s="5"/>
      <c r="G19" s="21" t="s">
        <v>1186</v>
      </c>
      <c r="H19" s="22">
        <f t="shared" ref="H19:O19" si="2">H15+H17</f>
        <v>262491.57</v>
      </c>
      <c r="I19" s="22">
        <f t="shared" si="2"/>
        <v>365349.41000000003</v>
      </c>
      <c r="J19" s="22">
        <f t="shared" si="2"/>
        <v>274985.32</v>
      </c>
      <c r="K19" s="22">
        <f t="shared" si="2"/>
        <v>289947.94</v>
      </c>
      <c r="L19" s="22">
        <f t="shared" si="2"/>
        <v>299662</v>
      </c>
      <c r="M19" s="22">
        <f t="shared" si="2"/>
        <v>301495</v>
      </c>
      <c r="N19" s="22">
        <f t="shared" si="2"/>
        <v>301495</v>
      </c>
      <c r="O19" s="22">
        <f t="shared" si="2"/>
        <v>323248</v>
      </c>
      <c r="P19" s="926">
        <f>(O19-L19)/L19</f>
        <v>7.8708678444380675E-2</v>
      </c>
      <c r="Q19" s="158"/>
      <c r="R19" s="26"/>
    </row>
    <row r="20" spans="1:18" ht="26.1" customHeight="1" x14ac:dyDescent="0.3">
      <c r="A20" s="12"/>
      <c r="B20" s="1"/>
      <c r="C20" s="35"/>
      <c r="D20" s="35"/>
    </row>
    <row r="21" spans="1:18" s="1" customFormat="1" ht="15.6" x14ac:dyDescent="0.3">
      <c r="A21" s="14" t="s">
        <v>1187</v>
      </c>
      <c r="B21" s="2"/>
      <c r="C21" s="36"/>
      <c r="D21" s="36"/>
      <c r="E21" s="48"/>
      <c r="F21" s="2"/>
      <c r="G21" s="2"/>
      <c r="H21" s="15"/>
      <c r="I21" s="15"/>
      <c r="J21" s="15"/>
      <c r="K21" s="15"/>
      <c r="L21" s="15"/>
      <c r="M21" s="15"/>
      <c r="N21" s="15"/>
      <c r="O21" s="15"/>
      <c r="P21" s="924"/>
      <c r="Q21" s="157"/>
    </row>
    <row r="22" spans="1:18" s="19" customFormat="1" x14ac:dyDescent="0.3">
      <c r="A22" s="29"/>
      <c r="B22" s="9"/>
      <c r="C22" s="43"/>
      <c r="D22" s="43"/>
      <c r="E22" s="27"/>
      <c r="F22" s="8"/>
      <c r="G22" s="8" t="s">
        <v>1188</v>
      </c>
      <c r="H22" s="28">
        <f>'BUDGET DETAIL'!S50</f>
        <v>77782.06</v>
      </c>
      <c r="I22" s="28">
        <f>'BUDGET DETAIL'!AF50</f>
        <v>72825.63</v>
      </c>
      <c r="J22" s="28">
        <f>'BUDGET DETAIL'!AS50</f>
        <v>58709.619999999995</v>
      </c>
      <c r="K22" s="28">
        <f>'BUDGET DETAIL'!BF50</f>
        <v>69995.820000000007</v>
      </c>
      <c r="L22" s="28">
        <f>'BUDGET DETAIL'!BR50</f>
        <v>77300</v>
      </c>
      <c r="M22" s="28">
        <f>'BUDGET DETAIL'!BW50</f>
        <v>77300</v>
      </c>
      <c r="N22" s="28">
        <f>'BUDGET DETAIL'!BZ50</f>
        <v>77300</v>
      </c>
      <c r="O22" s="28">
        <f>'BUDGET DETAIL'!CA50</f>
        <v>77300</v>
      </c>
      <c r="P22" s="925">
        <f>(O22-L22)/L22</f>
        <v>0</v>
      </c>
      <c r="Q22" s="157"/>
    </row>
    <row r="23" spans="1:18" s="1" customFormat="1" x14ac:dyDescent="0.3">
      <c r="A23" s="12"/>
      <c r="C23" s="35"/>
      <c r="D23" s="35"/>
      <c r="E23" s="47"/>
      <c r="H23" s="26"/>
      <c r="I23" s="26"/>
      <c r="J23" s="26"/>
      <c r="K23" s="26"/>
      <c r="L23" s="26"/>
      <c r="M23" s="26"/>
      <c r="N23" s="26"/>
      <c r="O23" s="26"/>
      <c r="P23" s="397"/>
      <c r="Q23" s="157"/>
    </row>
    <row r="24" spans="1:18" s="1" customFormat="1" x14ac:dyDescent="0.3">
      <c r="A24" s="29"/>
      <c r="B24" s="9"/>
      <c r="C24" s="43"/>
      <c r="D24" s="43"/>
      <c r="E24" s="51"/>
      <c r="F24" s="5"/>
      <c r="G24" s="21" t="s">
        <v>1189</v>
      </c>
      <c r="H24" s="22">
        <f t="shared" ref="H24:O24" si="3">SUM(H22)</f>
        <v>77782.06</v>
      </c>
      <c r="I24" s="22">
        <f t="shared" si="3"/>
        <v>72825.63</v>
      </c>
      <c r="J24" s="22">
        <f t="shared" si="3"/>
        <v>58709.619999999995</v>
      </c>
      <c r="K24" s="22">
        <f t="shared" si="3"/>
        <v>69995.820000000007</v>
      </c>
      <c r="L24" s="22">
        <f t="shared" si="3"/>
        <v>77300</v>
      </c>
      <c r="M24" s="22">
        <f t="shared" si="3"/>
        <v>77300</v>
      </c>
      <c r="N24" s="22">
        <f t="shared" si="3"/>
        <v>77300</v>
      </c>
      <c r="O24" s="22">
        <f t="shared" si="3"/>
        <v>77300</v>
      </c>
      <c r="P24" s="926">
        <f>(O24-L24)/L24</f>
        <v>0</v>
      </c>
      <c r="Q24" s="157"/>
    </row>
    <row r="25" spans="1:18" ht="26.1" customHeight="1" x14ac:dyDescent="0.3">
      <c r="A25" s="12"/>
      <c r="B25" s="1"/>
      <c r="C25" s="35"/>
      <c r="D25" s="35"/>
    </row>
    <row r="26" spans="1:18" s="1" customFormat="1" ht="15.6" x14ac:dyDescent="0.3">
      <c r="A26" s="14" t="s">
        <v>117</v>
      </c>
      <c r="B26" s="2"/>
      <c r="C26" s="36"/>
      <c r="D26" s="36"/>
      <c r="E26" s="48"/>
      <c r="F26" s="2"/>
      <c r="G26" s="2"/>
      <c r="H26" s="15"/>
      <c r="I26" s="15"/>
      <c r="J26" s="15"/>
      <c r="K26" s="15"/>
      <c r="L26" s="15"/>
      <c r="M26" s="15"/>
      <c r="N26" s="15"/>
      <c r="O26" s="15"/>
      <c r="P26" s="924"/>
      <c r="Q26" s="158"/>
    </row>
    <row r="27" spans="1:18" x14ac:dyDescent="0.3">
      <c r="F27" s="3" t="s">
        <v>2</v>
      </c>
      <c r="G27" s="75" t="s">
        <v>11</v>
      </c>
      <c r="H27" s="31">
        <f>'BUDGET DETAIL'!S56</f>
        <v>1185.24</v>
      </c>
      <c r="I27" s="31">
        <f>'BUDGET DETAIL'!AF56</f>
        <v>1336.67</v>
      </c>
      <c r="J27" s="31">
        <f>'BUDGET DETAIL'!AS56</f>
        <v>1358.52</v>
      </c>
      <c r="K27" s="31">
        <f>'BUDGET DETAIL'!BF56</f>
        <v>800.4</v>
      </c>
      <c r="L27" s="31">
        <f>'BUDGET DETAIL'!BR56</f>
        <v>1579</v>
      </c>
      <c r="M27" s="31">
        <f>'BUDGET DETAIL'!BW56</f>
        <v>1610</v>
      </c>
      <c r="N27" s="31">
        <f>'BUDGET DETAIL'!BZ56</f>
        <v>1610</v>
      </c>
      <c r="O27" s="31">
        <f>'BUDGET DETAIL'!CA56</f>
        <v>1610</v>
      </c>
      <c r="P27" s="397">
        <f>(O27-L27)/L27</f>
        <v>1.9632678910702975E-2</v>
      </c>
    </row>
    <row r="28" spans="1:18" x14ac:dyDescent="0.3">
      <c r="A28" s="29"/>
      <c r="B28" s="9"/>
      <c r="C28" s="43"/>
      <c r="D28" s="43"/>
      <c r="E28" s="27"/>
      <c r="F28" s="8"/>
      <c r="G28" s="76" t="s">
        <v>116</v>
      </c>
      <c r="H28" s="77">
        <f t="shared" ref="H28:O28" si="4">SUM(H27)</f>
        <v>1185.24</v>
      </c>
      <c r="I28" s="77">
        <f t="shared" si="4"/>
        <v>1336.67</v>
      </c>
      <c r="J28" s="77">
        <f t="shared" si="4"/>
        <v>1358.52</v>
      </c>
      <c r="K28" s="77">
        <f t="shared" si="4"/>
        <v>800.4</v>
      </c>
      <c r="L28" s="77">
        <f t="shared" si="4"/>
        <v>1579</v>
      </c>
      <c r="M28" s="77">
        <f t="shared" si="4"/>
        <v>1610</v>
      </c>
      <c r="N28" s="77">
        <f t="shared" si="4"/>
        <v>1610</v>
      </c>
      <c r="O28" s="77">
        <f t="shared" si="4"/>
        <v>1610</v>
      </c>
      <c r="P28" s="925">
        <f>(O28-L28)/L28</f>
        <v>1.9632678910702975E-2</v>
      </c>
    </row>
    <row r="29" spans="1:18" x14ac:dyDescent="0.3">
      <c r="A29" s="12"/>
      <c r="B29" s="1"/>
      <c r="C29" s="35"/>
      <c r="D29" s="35"/>
      <c r="G29" s="7"/>
      <c r="H29" s="31"/>
      <c r="I29" s="31"/>
      <c r="J29" s="31"/>
      <c r="K29" s="31"/>
      <c r="L29" s="31"/>
      <c r="M29" s="31"/>
      <c r="N29" s="31"/>
      <c r="O29" s="31"/>
    </row>
    <row r="30" spans="1:18" x14ac:dyDescent="0.3">
      <c r="A30" s="29"/>
      <c r="B30" s="9"/>
      <c r="C30" s="43"/>
      <c r="D30" s="43"/>
      <c r="E30" s="27"/>
      <c r="F30" s="8"/>
      <c r="G30" s="76" t="s">
        <v>112</v>
      </c>
      <c r="H30" s="77">
        <f>'BUDGET DETAIL'!S62</f>
        <v>180</v>
      </c>
      <c r="I30" s="77">
        <f>'BUDGET DETAIL'!AF62</f>
        <v>180</v>
      </c>
      <c r="J30" s="77">
        <f>'BUDGET DETAIL'!AS62</f>
        <v>180</v>
      </c>
      <c r="K30" s="77">
        <f>'BUDGET DETAIL'!BF62</f>
        <v>0</v>
      </c>
      <c r="L30" s="77">
        <f>'BUDGET DETAIL'!BR62</f>
        <v>350</v>
      </c>
      <c r="M30" s="77">
        <f>'BUDGET DETAIL'!BW62</f>
        <v>350</v>
      </c>
      <c r="N30" s="77">
        <f>'BUDGET DETAIL'!BZ62</f>
        <v>350</v>
      </c>
      <c r="O30" s="77">
        <f>'BUDGET DETAIL'!CA62</f>
        <v>350</v>
      </c>
      <c r="P30" s="925">
        <f>(O30-L30)/L30</f>
        <v>0</v>
      </c>
    </row>
    <row r="31" spans="1:18" s="1" customFormat="1" x14ac:dyDescent="0.3">
      <c r="A31" s="29"/>
      <c r="B31" s="9"/>
      <c r="C31" s="43"/>
      <c r="D31" s="43"/>
      <c r="E31" s="46"/>
      <c r="F31" s="9"/>
      <c r="G31" s="78"/>
      <c r="H31" s="79"/>
      <c r="I31" s="79"/>
      <c r="J31" s="79"/>
      <c r="K31" s="79"/>
      <c r="L31" s="79"/>
      <c r="M31" s="79"/>
      <c r="N31" s="79"/>
      <c r="O31" s="79"/>
      <c r="P31" s="397"/>
      <c r="Q31" s="158"/>
    </row>
    <row r="32" spans="1:18" x14ac:dyDescent="0.3">
      <c r="A32" s="29"/>
      <c r="B32" s="9"/>
      <c r="C32" s="43"/>
      <c r="D32" s="43"/>
      <c r="E32" s="27"/>
      <c r="F32" s="8"/>
      <c r="G32" s="76" t="s">
        <v>612</v>
      </c>
      <c r="H32" s="77">
        <f>'BUDGET DETAIL'!S65</f>
        <v>0</v>
      </c>
      <c r="I32" s="77">
        <f>'BUDGET DETAIL'!AF65</f>
        <v>0</v>
      </c>
      <c r="J32" s="77">
        <f>'BUDGET DETAIL'!AS65</f>
        <v>0</v>
      </c>
      <c r="K32" s="77">
        <f>'BUDGET DETAIL'!BF65</f>
        <v>0</v>
      </c>
      <c r="L32" s="77">
        <f>'BUDGET DETAIL'!BR65</f>
        <v>100000</v>
      </c>
      <c r="M32" s="77">
        <f>'BUDGET DETAIL'!BW65</f>
        <v>100000</v>
      </c>
      <c r="N32" s="77">
        <f>'BUDGET DETAIL'!BZ65</f>
        <v>100000</v>
      </c>
      <c r="O32" s="77">
        <f>'BUDGET DETAIL'!CA65</f>
        <v>100000</v>
      </c>
      <c r="P32" s="925">
        <f>(O32-L32)/L32</f>
        <v>0</v>
      </c>
    </row>
    <row r="33" spans="1:17" s="1" customFormat="1" x14ac:dyDescent="0.3">
      <c r="A33" s="29"/>
      <c r="B33" s="9"/>
      <c r="C33" s="43"/>
      <c r="D33" s="43"/>
      <c r="E33" s="46"/>
      <c r="F33" s="9"/>
      <c r="G33" s="78"/>
      <c r="H33" s="79"/>
      <c r="I33" s="79"/>
      <c r="J33" s="79"/>
      <c r="K33" s="79"/>
      <c r="L33" s="79"/>
      <c r="M33" s="79"/>
      <c r="N33" s="79"/>
      <c r="O33" s="79"/>
      <c r="P33" s="397"/>
      <c r="Q33" s="158"/>
    </row>
    <row r="34" spans="1:17" s="1" customFormat="1" x14ac:dyDescent="0.3">
      <c r="A34" s="29"/>
      <c r="B34" s="9"/>
      <c r="C34" s="43"/>
      <c r="D34" s="43"/>
      <c r="E34" s="51"/>
      <c r="F34" s="5"/>
      <c r="G34" s="80" t="s">
        <v>113</v>
      </c>
      <c r="H34" s="81">
        <f t="shared" ref="H34" si="5">SUM(H32,H30,H28)</f>
        <v>1365.24</v>
      </c>
      <c r="I34" s="81">
        <f t="shared" ref="I34:J34" si="6">SUM(I32,I30,I28)</f>
        <v>1516.67</v>
      </c>
      <c r="J34" s="81">
        <f t="shared" si="6"/>
        <v>1538.52</v>
      </c>
      <c r="K34" s="81">
        <f t="shared" ref="K34:L34" si="7">SUM(K32,K30,K28)</f>
        <v>800.4</v>
      </c>
      <c r="L34" s="81">
        <f t="shared" si="7"/>
        <v>101929</v>
      </c>
      <c r="M34" s="81">
        <f t="shared" ref="M34:O34" si="8">SUM(M32,M30,M28)</f>
        <v>101960</v>
      </c>
      <c r="N34" s="81">
        <f t="shared" si="8"/>
        <v>101960</v>
      </c>
      <c r="O34" s="81">
        <f t="shared" si="8"/>
        <v>101960</v>
      </c>
      <c r="P34" s="926">
        <f>(O34-L34)/L34</f>
        <v>3.0413326923642926E-4</v>
      </c>
      <c r="Q34" s="158"/>
    </row>
    <row r="35" spans="1:17" ht="26.1" customHeight="1" x14ac:dyDescent="0.3">
      <c r="A35" s="12"/>
      <c r="B35" s="1"/>
      <c r="C35" s="35"/>
      <c r="D35" s="35"/>
    </row>
    <row r="36" spans="1:17" s="1" customFormat="1" ht="15.6" x14ac:dyDescent="0.3">
      <c r="A36" s="14" t="s">
        <v>134</v>
      </c>
      <c r="B36" s="2"/>
      <c r="C36" s="36"/>
      <c r="D36" s="36"/>
      <c r="E36" s="48"/>
      <c r="F36" s="2"/>
      <c r="G36" s="82"/>
      <c r="H36" s="83"/>
      <c r="I36" s="83"/>
      <c r="J36" s="83"/>
      <c r="K36" s="83"/>
      <c r="L36" s="83"/>
      <c r="M36" s="83"/>
      <c r="N36" s="83"/>
      <c r="O36" s="83"/>
      <c r="P36" s="924"/>
      <c r="Q36" s="158"/>
    </row>
    <row r="37" spans="1:17" x14ac:dyDescent="0.3">
      <c r="A37" s="12"/>
      <c r="B37" s="1"/>
      <c r="C37" s="35"/>
      <c r="D37" s="35"/>
      <c r="G37" s="75" t="s">
        <v>369</v>
      </c>
      <c r="H37" s="31">
        <f>'BUDGET DETAIL'!S71</f>
        <v>93891.199999999997</v>
      </c>
      <c r="I37" s="31">
        <f>'BUDGET DETAIL'!AF71</f>
        <v>98404.800000000003</v>
      </c>
      <c r="J37" s="31">
        <f>'BUDGET DETAIL'!AS71</f>
        <v>103919.67999999999</v>
      </c>
      <c r="K37" s="31">
        <f>'BUDGET DETAIL'!BF71</f>
        <v>106362.72</v>
      </c>
      <c r="L37" s="31">
        <f>'BUDGET DETAIL'!BR71</f>
        <v>108493</v>
      </c>
      <c r="M37" s="31">
        <f>'BUDGET DETAIL'!BW71</f>
        <v>110664</v>
      </c>
      <c r="N37" s="31">
        <f>'BUDGET DETAIL'!BZ71</f>
        <v>110664</v>
      </c>
      <c r="O37" s="31">
        <f>'BUDGET DETAIL'!CA71</f>
        <v>110664</v>
      </c>
      <c r="P37" s="397">
        <f>(O37-L37)/L37</f>
        <v>2.0010507590351452E-2</v>
      </c>
    </row>
    <row r="38" spans="1:17" x14ac:dyDescent="0.3">
      <c r="A38" s="12"/>
      <c r="B38" s="1"/>
      <c r="C38" s="35"/>
      <c r="D38" s="35"/>
      <c r="G38" s="75" t="s">
        <v>11</v>
      </c>
      <c r="H38" s="31">
        <f>'BUDGET DETAIL'!S74</f>
        <v>39832.94</v>
      </c>
      <c r="I38" s="31">
        <f>'BUDGET DETAIL'!AF74</f>
        <v>47640.21</v>
      </c>
      <c r="J38" s="31">
        <f>'BUDGET DETAIL'!AS74</f>
        <v>50940.3</v>
      </c>
      <c r="K38" s="31">
        <f>'BUDGET DETAIL'!BF74</f>
        <v>52093.17</v>
      </c>
      <c r="L38" s="31">
        <f>'BUDGET DETAIL'!BR74</f>
        <v>62553</v>
      </c>
      <c r="M38" s="31">
        <f>'BUDGET DETAIL'!BW74</f>
        <v>63793</v>
      </c>
      <c r="N38" s="31">
        <f>'BUDGET DETAIL'!BZ74</f>
        <v>63793</v>
      </c>
      <c r="O38" s="31">
        <f>'BUDGET DETAIL'!CA74</f>
        <v>63793</v>
      </c>
      <c r="P38" s="397">
        <f>(O38-L38)/L38</f>
        <v>1.9823189934935176E-2</v>
      </c>
    </row>
    <row r="39" spans="1:17" x14ac:dyDescent="0.3">
      <c r="A39" s="29"/>
      <c r="B39" s="9"/>
      <c r="C39" s="43"/>
      <c r="D39" s="43"/>
      <c r="E39" s="27"/>
      <c r="F39" s="8"/>
      <c r="G39" s="76" t="s">
        <v>138</v>
      </c>
      <c r="H39" s="77">
        <f t="shared" ref="H39:O39" si="9">H37+H38</f>
        <v>133724.14000000001</v>
      </c>
      <c r="I39" s="77">
        <f t="shared" si="9"/>
        <v>146045.01</v>
      </c>
      <c r="J39" s="77">
        <f t="shared" si="9"/>
        <v>154859.97999999998</v>
      </c>
      <c r="K39" s="77">
        <f t="shared" si="9"/>
        <v>158455.89000000001</v>
      </c>
      <c r="L39" s="77">
        <f t="shared" si="9"/>
        <v>171046</v>
      </c>
      <c r="M39" s="77">
        <f t="shared" si="9"/>
        <v>174457</v>
      </c>
      <c r="N39" s="77">
        <f t="shared" si="9"/>
        <v>174457</v>
      </c>
      <c r="O39" s="77">
        <f t="shared" si="9"/>
        <v>174457</v>
      </c>
      <c r="P39" s="925">
        <f>(O39-L39)/L39</f>
        <v>1.9942003905382179E-2</v>
      </c>
    </row>
    <row r="40" spans="1:17" x14ac:dyDescent="0.3">
      <c r="A40" s="12"/>
      <c r="B40" s="1"/>
      <c r="C40" s="35"/>
      <c r="D40" s="35"/>
      <c r="G40" s="7"/>
      <c r="H40" s="31"/>
      <c r="I40" s="31"/>
      <c r="J40" s="31"/>
      <c r="K40" s="31"/>
      <c r="L40" s="31"/>
      <c r="M40" s="31"/>
      <c r="N40" s="31"/>
      <c r="O40" s="31"/>
    </row>
    <row r="41" spans="1:17" s="19" customFormat="1" x14ac:dyDescent="0.3">
      <c r="A41" s="29"/>
      <c r="B41" s="9"/>
      <c r="C41" s="43"/>
      <c r="D41" s="43"/>
      <c r="E41" s="27"/>
      <c r="F41" s="8"/>
      <c r="G41" s="76" t="s">
        <v>137</v>
      </c>
      <c r="H41" s="77">
        <f>'BUDGET DETAIL'!S85</f>
        <v>27529.35</v>
      </c>
      <c r="I41" s="77">
        <f>'BUDGET DETAIL'!AF85</f>
        <v>29970.53</v>
      </c>
      <c r="J41" s="77">
        <f>'BUDGET DETAIL'!AS85</f>
        <v>28118.46</v>
      </c>
      <c r="K41" s="77">
        <f>'BUDGET DETAIL'!BF85</f>
        <v>31752.66</v>
      </c>
      <c r="L41" s="77">
        <f>'BUDGET DETAIL'!BR85</f>
        <v>37026</v>
      </c>
      <c r="M41" s="77">
        <f>'BUDGET DETAIL'!BW85</f>
        <v>37026</v>
      </c>
      <c r="N41" s="77">
        <f>'BUDGET DETAIL'!BZ85</f>
        <v>37026</v>
      </c>
      <c r="O41" s="77">
        <f>'BUDGET DETAIL'!CA85</f>
        <v>37026</v>
      </c>
      <c r="P41" s="925">
        <f>(O41-L41)/L41</f>
        <v>0</v>
      </c>
      <c r="Q41" s="159"/>
    </row>
    <row r="42" spans="1:17" ht="9.9" customHeight="1" x14ac:dyDescent="0.3">
      <c r="A42" s="12"/>
      <c r="B42" s="1"/>
      <c r="C42" s="35"/>
      <c r="D42" s="35"/>
      <c r="G42" s="7"/>
      <c r="H42" s="31"/>
      <c r="I42" s="31"/>
      <c r="J42" s="31"/>
      <c r="K42" s="31"/>
      <c r="L42" s="31"/>
      <c r="M42" s="31"/>
      <c r="N42" s="31"/>
      <c r="O42" s="31"/>
    </row>
    <row r="43" spans="1:17" s="1" customFormat="1" x14ac:dyDescent="0.3">
      <c r="A43" s="29"/>
      <c r="B43" s="9"/>
      <c r="C43" s="43"/>
      <c r="D43" s="43"/>
      <c r="E43" s="51"/>
      <c r="F43" s="5"/>
      <c r="G43" s="80" t="s">
        <v>133</v>
      </c>
      <c r="H43" s="81">
        <f t="shared" ref="H43:O43" si="10">H39+H41</f>
        <v>161253.49000000002</v>
      </c>
      <c r="I43" s="81">
        <f t="shared" si="10"/>
        <v>176015.54</v>
      </c>
      <c r="J43" s="81">
        <f t="shared" si="10"/>
        <v>182978.43999999997</v>
      </c>
      <c r="K43" s="81">
        <f t="shared" si="10"/>
        <v>190208.55000000002</v>
      </c>
      <c r="L43" s="81">
        <f t="shared" si="10"/>
        <v>208072</v>
      </c>
      <c r="M43" s="81">
        <f t="shared" si="10"/>
        <v>211483</v>
      </c>
      <c r="N43" s="81">
        <f t="shared" si="10"/>
        <v>211483</v>
      </c>
      <c r="O43" s="81">
        <f t="shared" si="10"/>
        <v>211483</v>
      </c>
      <c r="P43" s="926">
        <f>(O43-L43)/L43</f>
        <v>1.6393363835595372E-2</v>
      </c>
      <c r="Q43" s="158"/>
    </row>
    <row r="44" spans="1:17" ht="26.1" customHeight="1" x14ac:dyDescent="0.3">
      <c r="A44" s="12"/>
      <c r="B44" s="1"/>
      <c r="C44" s="35"/>
      <c r="D44" s="35"/>
    </row>
    <row r="45" spans="1:17" s="1" customFormat="1" ht="15.6" x14ac:dyDescent="0.3">
      <c r="A45" s="14" t="s">
        <v>135</v>
      </c>
      <c r="B45" s="2"/>
      <c r="C45" s="36"/>
      <c r="D45" s="36"/>
      <c r="E45" s="48"/>
      <c r="F45" s="2"/>
      <c r="G45" s="82"/>
      <c r="H45" s="83"/>
      <c r="I45" s="83"/>
      <c r="J45" s="83"/>
      <c r="K45" s="83"/>
      <c r="L45" s="83"/>
      <c r="M45" s="83"/>
      <c r="N45" s="83"/>
      <c r="O45" s="83"/>
      <c r="P45" s="924"/>
      <c r="Q45" s="158"/>
    </row>
    <row r="46" spans="1:17" x14ac:dyDescent="0.3">
      <c r="G46" s="75" t="s">
        <v>369</v>
      </c>
      <c r="H46" s="31">
        <f>'BUDGET DETAIL'!S92</f>
        <v>82500</v>
      </c>
      <c r="I46" s="31">
        <f>'BUDGET DETAIL'!AF92</f>
        <v>86244</v>
      </c>
      <c r="J46" s="31">
        <f>'BUDGET DETAIL'!AS92</f>
        <v>90834.240000000005</v>
      </c>
      <c r="K46" s="31">
        <f>'BUDGET DETAIL'!BF92</f>
        <v>92864.16</v>
      </c>
      <c r="L46" s="31">
        <f>'BUDGET DETAIL'!BR92</f>
        <v>94639</v>
      </c>
      <c r="M46" s="31">
        <f>'BUDGET DETAIL'!BW92</f>
        <v>96435</v>
      </c>
      <c r="N46" s="31">
        <f>'BUDGET DETAIL'!BZ92</f>
        <v>96435</v>
      </c>
      <c r="O46" s="31">
        <f>'BUDGET DETAIL'!CA92</f>
        <v>96435</v>
      </c>
      <c r="P46" s="397">
        <f>(O46-L46)/L46</f>
        <v>1.8977377191221379E-2</v>
      </c>
    </row>
    <row r="47" spans="1:17" x14ac:dyDescent="0.3">
      <c r="A47" s="12"/>
      <c r="B47" s="1"/>
      <c r="C47" s="35"/>
      <c r="D47" s="35"/>
      <c r="G47" s="75" t="s">
        <v>11</v>
      </c>
      <c r="H47" s="31">
        <f>'BUDGET DETAIL'!S96</f>
        <v>44854.38</v>
      </c>
      <c r="I47" s="31">
        <f>'BUDGET DETAIL'!AF96</f>
        <v>46556.1</v>
      </c>
      <c r="J47" s="31">
        <f>'BUDGET DETAIL'!AS96</f>
        <v>49539.6</v>
      </c>
      <c r="K47" s="31">
        <f>'BUDGET DETAIL'!BF96</f>
        <v>47733.8</v>
      </c>
      <c r="L47" s="31">
        <f>'BUDGET DETAIL'!BR96</f>
        <v>51718</v>
      </c>
      <c r="M47" s="31">
        <f>'BUDGET DETAIL'!BW96</f>
        <v>51131</v>
      </c>
      <c r="N47" s="31">
        <f>'BUDGET DETAIL'!BZ96</f>
        <v>51131</v>
      </c>
      <c r="O47" s="31">
        <f>'BUDGET DETAIL'!CA96</f>
        <v>51131</v>
      </c>
      <c r="P47" s="397">
        <f>(O47-L47)/L47</f>
        <v>-1.1350013534939479E-2</v>
      </c>
    </row>
    <row r="48" spans="1:17" s="19" customFormat="1" x14ac:dyDescent="0.3">
      <c r="A48" s="29"/>
      <c r="B48" s="9"/>
      <c r="C48" s="43"/>
      <c r="D48" s="43"/>
      <c r="E48" s="27"/>
      <c r="F48" s="8"/>
      <c r="G48" s="76" t="s">
        <v>136</v>
      </c>
      <c r="H48" s="77">
        <f t="shared" ref="H48:O48" si="11">H46+H47</f>
        <v>127354.38</v>
      </c>
      <c r="I48" s="77">
        <f t="shared" si="11"/>
        <v>132800.1</v>
      </c>
      <c r="J48" s="77">
        <f t="shared" si="11"/>
        <v>140373.84</v>
      </c>
      <c r="K48" s="77">
        <f t="shared" si="11"/>
        <v>140597.96000000002</v>
      </c>
      <c r="L48" s="77">
        <f t="shared" si="11"/>
        <v>146357</v>
      </c>
      <c r="M48" s="77">
        <f t="shared" si="11"/>
        <v>147566</v>
      </c>
      <c r="N48" s="77">
        <f t="shared" si="11"/>
        <v>147566</v>
      </c>
      <c r="O48" s="77">
        <f t="shared" si="11"/>
        <v>147566</v>
      </c>
      <c r="P48" s="925">
        <f>(O48-L48)/L48</f>
        <v>8.2606229971917983E-3</v>
      </c>
      <c r="Q48" s="159"/>
    </row>
    <row r="49" spans="1:17" x14ac:dyDescent="0.3">
      <c r="A49" s="12"/>
      <c r="B49" s="1"/>
      <c r="C49" s="35"/>
      <c r="D49" s="35"/>
    </row>
    <row r="50" spans="1:17" s="19" customFormat="1" x14ac:dyDescent="0.3">
      <c r="A50" s="29"/>
      <c r="B50" s="9"/>
      <c r="C50" s="43"/>
      <c r="D50" s="43"/>
      <c r="E50" s="27"/>
      <c r="F50" s="8"/>
      <c r="G50" s="8" t="s">
        <v>139</v>
      </c>
      <c r="H50" s="77">
        <f>'BUDGET DETAIL'!S113</f>
        <v>32038.050000000003</v>
      </c>
      <c r="I50" s="77">
        <f>'BUDGET DETAIL'!AF113</f>
        <v>27572.960000000003</v>
      </c>
      <c r="J50" s="77">
        <f>'BUDGET DETAIL'!AS113</f>
        <v>31540.18</v>
      </c>
      <c r="K50" s="77">
        <f>'BUDGET DETAIL'!BF113</f>
        <v>35249.19</v>
      </c>
      <c r="L50" s="77">
        <f>'BUDGET DETAIL'!BR113</f>
        <v>55295</v>
      </c>
      <c r="M50" s="77">
        <f>'BUDGET DETAIL'!BW113</f>
        <v>55295</v>
      </c>
      <c r="N50" s="77">
        <f>'BUDGET DETAIL'!BZ113</f>
        <v>55295</v>
      </c>
      <c r="O50" s="77">
        <f>'BUDGET DETAIL'!CA113</f>
        <v>55295</v>
      </c>
      <c r="P50" s="925">
        <f>(O50-L50)/L50</f>
        <v>0</v>
      </c>
      <c r="Q50" s="159"/>
    </row>
    <row r="51" spans="1:17" ht="9.9" customHeight="1" x14ac:dyDescent="0.3">
      <c r="A51" s="12"/>
      <c r="B51" s="1"/>
      <c r="C51" s="35"/>
      <c r="D51" s="35"/>
      <c r="H51" s="31"/>
      <c r="I51" s="31"/>
      <c r="J51" s="31"/>
      <c r="K51" s="31"/>
      <c r="L51" s="31"/>
      <c r="M51" s="31"/>
      <c r="N51" s="31"/>
      <c r="O51" s="31"/>
    </row>
    <row r="52" spans="1:17" s="1" customFormat="1" x14ac:dyDescent="0.3">
      <c r="A52" s="29"/>
      <c r="B52" s="9"/>
      <c r="C52" s="43"/>
      <c r="D52" s="43"/>
      <c r="E52" s="51"/>
      <c r="F52" s="5"/>
      <c r="G52" s="21" t="s">
        <v>140</v>
      </c>
      <c r="H52" s="81">
        <f t="shared" ref="H52:O52" si="12">H48+H50</f>
        <v>159392.43</v>
      </c>
      <c r="I52" s="81">
        <f t="shared" si="12"/>
        <v>160373.06</v>
      </c>
      <c r="J52" s="81">
        <f t="shared" si="12"/>
        <v>171914.02</v>
      </c>
      <c r="K52" s="81">
        <f t="shared" si="12"/>
        <v>175847.15000000002</v>
      </c>
      <c r="L52" s="81">
        <f t="shared" si="12"/>
        <v>201652</v>
      </c>
      <c r="M52" s="81">
        <f t="shared" si="12"/>
        <v>202861</v>
      </c>
      <c r="N52" s="81">
        <f t="shared" si="12"/>
        <v>202861</v>
      </c>
      <c r="O52" s="81">
        <f t="shared" si="12"/>
        <v>202861</v>
      </c>
      <c r="P52" s="926">
        <f>(O52-L52)/L52</f>
        <v>5.9954773570309247E-3</v>
      </c>
      <c r="Q52" s="158"/>
    </row>
    <row r="53" spans="1:17" ht="26.1" customHeight="1" x14ac:dyDescent="0.3">
      <c r="A53" s="12"/>
      <c r="B53" s="1"/>
      <c r="C53" s="35"/>
      <c r="D53" s="35"/>
    </row>
    <row r="54" spans="1:17" s="1" customFormat="1" ht="15.6" x14ac:dyDescent="0.3">
      <c r="A54" s="14" t="s">
        <v>141</v>
      </c>
      <c r="B54" s="2"/>
      <c r="C54" s="36"/>
      <c r="D54" s="36"/>
      <c r="E54" s="48"/>
      <c r="F54" s="2"/>
      <c r="G54" s="2"/>
      <c r="H54" s="83"/>
      <c r="I54" s="83"/>
      <c r="J54" s="83"/>
      <c r="K54" s="83"/>
      <c r="L54" s="83"/>
      <c r="M54" s="83"/>
      <c r="N54" s="83"/>
      <c r="O54" s="83"/>
      <c r="P54" s="924"/>
      <c r="Q54" s="158"/>
    </row>
    <row r="55" spans="1:17" x14ac:dyDescent="0.3">
      <c r="G55" s="75" t="s">
        <v>369</v>
      </c>
      <c r="H55" s="31">
        <f>'BUDGET DETAIL'!S120</f>
        <v>97471</v>
      </c>
      <c r="I55" s="31">
        <f>'BUDGET DETAIL'!AF120</f>
        <v>102108.8</v>
      </c>
      <c r="J55" s="31">
        <f>'BUDGET DETAIL'!AS120</f>
        <v>106224.44</v>
      </c>
      <c r="K55" s="31">
        <f>'BUDGET DETAIL'!BF120</f>
        <v>106566.48</v>
      </c>
      <c r="L55" s="31">
        <f>'BUDGET DETAIL'!BR120</f>
        <v>108493</v>
      </c>
      <c r="M55" s="31">
        <f>'BUDGET DETAIL'!BW120</f>
        <v>110664</v>
      </c>
      <c r="N55" s="31">
        <f>'BUDGET DETAIL'!BZ120</f>
        <v>110664</v>
      </c>
      <c r="O55" s="31">
        <f>'BUDGET DETAIL'!CA120</f>
        <v>110664</v>
      </c>
      <c r="P55" s="397">
        <f>(O55-L55)/L55</f>
        <v>2.0010507590351452E-2</v>
      </c>
    </row>
    <row r="56" spans="1:17" x14ac:dyDescent="0.3">
      <c r="G56" s="75" t="s">
        <v>11</v>
      </c>
      <c r="H56" s="31">
        <f>'BUDGET DETAIL'!S125</f>
        <v>96162</v>
      </c>
      <c r="I56" s="31">
        <f>'BUDGET DETAIL'!AF125</f>
        <v>101514.32</v>
      </c>
      <c r="J56" s="31">
        <f>'BUDGET DETAIL'!AS125</f>
        <v>106042.04000000001</v>
      </c>
      <c r="K56" s="31">
        <f>'BUDGET DETAIL'!BF125</f>
        <v>109045.01999999999</v>
      </c>
      <c r="L56" s="31">
        <f>'BUDGET DETAIL'!BR125</f>
        <v>111131</v>
      </c>
      <c r="M56" s="31">
        <f>'BUDGET DETAIL'!BW125</f>
        <v>112839</v>
      </c>
      <c r="N56" s="31">
        <f>'BUDGET DETAIL'!BZ125</f>
        <v>112839</v>
      </c>
      <c r="O56" s="31">
        <f>'BUDGET DETAIL'!CA125</f>
        <v>112839</v>
      </c>
      <c r="P56" s="397">
        <f>(O56-L56)/L56</f>
        <v>1.5369248904446103E-2</v>
      </c>
    </row>
    <row r="57" spans="1:17" s="19" customFormat="1" x14ac:dyDescent="0.3">
      <c r="A57" s="29"/>
      <c r="B57" s="9"/>
      <c r="C57" s="43"/>
      <c r="D57" s="43"/>
      <c r="E57" s="27"/>
      <c r="F57" s="8"/>
      <c r="G57" s="8" t="s">
        <v>142</v>
      </c>
      <c r="H57" s="77">
        <f t="shared" ref="H57:O57" si="13">H55+H56</f>
        <v>193633</v>
      </c>
      <c r="I57" s="77">
        <f t="shared" si="13"/>
        <v>203623.12</v>
      </c>
      <c r="J57" s="77">
        <f t="shared" si="13"/>
        <v>212266.48</v>
      </c>
      <c r="K57" s="77">
        <f t="shared" si="13"/>
        <v>215611.5</v>
      </c>
      <c r="L57" s="77">
        <f t="shared" si="13"/>
        <v>219624</v>
      </c>
      <c r="M57" s="77">
        <f t="shared" si="13"/>
        <v>223503</v>
      </c>
      <c r="N57" s="77">
        <f t="shared" si="13"/>
        <v>223503</v>
      </c>
      <c r="O57" s="77">
        <f t="shared" si="13"/>
        <v>223503</v>
      </c>
      <c r="P57" s="925">
        <f>(O57-L57)/L57</f>
        <v>1.7662004152551633E-2</v>
      </c>
      <c r="Q57" s="159"/>
    </row>
    <row r="58" spans="1:17" x14ac:dyDescent="0.3">
      <c r="H58" s="31"/>
      <c r="I58" s="31"/>
      <c r="J58" s="31"/>
      <c r="K58" s="31"/>
      <c r="L58" s="31"/>
      <c r="M58" s="31"/>
      <c r="N58" s="31"/>
      <c r="O58" s="31"/>
    </row>
    <row r="59" spans="1:17" s="19" customFormat="1" x14ac:dyDescent="0.3">
      <c r="A59" s="29"/>
      <c r="B59" s="9"/>
      <c r="C59" s="43"/>
      <c r="D59" s="43"/>
      <c r="E59" s="27"/>
      <c r="F59" s="8"/>
      <c r="G59" s="8" t="s">
        <v>143</v>
      </c>
      <c r="H59" s="77">
        <f>'BUDGET DETAIL'!S142</f>
        <v>44107.17</v>
      </c>
      <c r="I59" s="77">
        <f>'BUDGET DETAIL'!AF142</f>
        <v>44863.49</v>
      </c>
      <c r="J59" s="77">
        <f>'BUDGET DETAIL'!AS142</f>
        <v>40231</v>
      </c>
      <c r="K59" s="77">
        <f>'BUDGET DETAIL'!BF142</f>
        <v>38847.199999999997</v>
      </c>
      <c r="L59" s="77">
        <f>'BUDGET DETAIL'!BR142</f>
        <v>52068</v>
      </c>
      <c r="M59" s="77">
        <f>'BUDGET DETAIL'!BW142</f>
        <v>52068</v>
      </c>
      <c r="N59" s="77">
        <f>'BUDGET DETAIL'!BZ142</f>
        <v>52068</v>
      </c>
      <c r="O59" s="77">
        <f>'BUDGET DETAIL'!CA142</f>
        <v>60168</v>
      </c>
      <c r="P59" s="925">
        <f>(O59-L59)/L59</f>
        <v>0.15556579857109934</v>
      </c>
      <c r="Q59" s="159"/>
    </row>
    <row r="60" spans="1:17" ht="9.9" customHeight="1" x14ac:dyDescent="0.3">
      <c r="A60" s="12"/>
      <c r="B60" s="1"/>
      <c r="C60" s="35"/>
      <c r="D60" s="35"/>
      <c r="H60" s="31"/>
      <c r="I60" s="31"/>
      <c r="J60" s="31"/>
      <c r="K60" s="31"/>
      <c r="L60" s="31"/>
      <c r="M60" s="31"/>
      <c r="N60" s="31"/>
      <c r="O60" s="31"/>
    </row>
    <row r="61" spans="1:17" s="1" customFormat="1" x14ac:dyDescent="0.3">
      <c r="A61" s="29"/>
      <c r="B61" s="9"/>
      <c r="C61" s="43"/>
      <c r="D61" s="43"/>
      <c r="E61" s="51"/>
      <c r="F61" s="5"/>
      <c r="G61" s="21" t="s">
        <v>144</v>
      </c>
      <c r="H61" s="81">
        <f t="shared" ref="H61:O61" si="14">H57+H59</f>
        <v>237740.16999999998</v>
      </c>
      <c r="I61" s="81">
        <f t="shared" si="14"/>
        <v>248486.61</v>
      </c>
      <c r="J61" s="81">
        <f t="shared" si="14"/>
        <v>252497.48</v>
      </c>
      <c r="K61" s="81">
        <f t="shared" si="14"/>
        <v>254458.7</v>
      </c>
      <c r="L61" s="81">
        <f t="shared" si="14"/>
        <v>271692</v>
      </c>
      <c r="M61" s="81">
        <f t="shared" si="14"/>
        <v>275571</v>
      </c>
      <c r="N61" s="81">
        <f t="shared" si="14"/>
        <v>275571</v>
      </c>
      <c r="O61" s="81">
        <f t="shared" si="14"/>
        <v>283671</v>
      </c>
      <c r="P61" s="926">
        <f>(O61-L61)/L61</f>
        <v>4.4090367033258249E-2</v>
      </c>
      <c r="Q61" s="158"/>
    </row>
    <row r="62" spans="1:17" ht="26.1" customHeight="1" x14ac:dyDescent="0.3">
      <c r="A62" s="12"/>
      <c r="B62" s="1"/>
      <c r="C62" s="35"/>
      <c r="D62" s="35"/>
    </row>
    <row r="63" spans="1:17" s="1" customFormat="1" ht="15.6" x14ac:dyDescent="0.3">
      <c r="A63" s="14" t="s">
        <v>282</v>
      </c>
      <c r="B63" s="2"/>
      <c r="C63" s="36"/>
      <c r="D63" s="36"/>
      <c r="E63" s="48"/>
      <c r="F63" s="2"/>
      <c r="G63" s="2"/>
      <c r="H63" s="83"/>
      <c r="I63" s="83"/>
      <c r="J63" s="83"/>
      <c r="K63" s="83"/>
      <c r="L63" s="83"/>
      <c r="M63" s="83"/>
      <c r="N63" s="83"/>
      <c r="O63" s="83"/>
      <c r="P63" s="924"/>
      <c r="Q63" s="157"/>
    </row>
    <row r="64" spans="1:17" s="19" customFormat="1" x14ac:dyDescent="0.3">
      <c r="A64" s="29"/>
      <c r="B64" s="9"/>
      <c r="C64" s="43"/>
      <c r="D64" s="43"/>
      <c r="E64" s="27"/>
      <c r="F64" s="8"/>
      <c r="G64" s="8" t="s">
        <v>283</v>
      </c>
      <c r="H64" s="77">
        <f>'BUDGET DETAIL'!S176</f>
        <v>180681.80999999997</v>
      </c>
      <c r="I64" s="77">
        <f>'BUDGET DETAIL'!AF176</f>
        <v>244147.87</v>
      </c>
      <c r="J64" s="77">
        <f>'BUDGET DETAIL'!AS176</f>
        <v>234528.21000000002</v>
      </c>
      <c r="K64" s="77">
        <f>'BUDGET DETAIL'!BF176</f>
        <v>241697.32999999996</v>
      </c>
      <c r="L64" s="77">
        <f>'BUDGET DETAIL'!BR176</f>
        <v>265466</v>
      </c>
      <c r="M64" s="77">
        <f>'BUDGET DETAIL'!BW176</f>
        <v>265466</v>
      </c>
      <c r="N64" s="77">
        <f>'BUDGET DETAIL'!BZ176</f>
        <v>265466</v>
      </c>
      <c r="O64" s="77">
        <f>'BUDGET DETAIL'!CA176</f>
        <v>261841</v>
      </c>
      <c r="P64" s="925">
        <f>(O64-L64)/L64</f>
        <v>-1.3655232685164956E-2</v>
      </c>
      <c r="Q64" s="159"/>
    </row>
    <row r="65" spans="1:17" ht="9.9" customHeight="1" x14ac:dyDescent="0.3">
      <c r="A65" s="12"/>
      <c r="B65" s="1"/>
      <c r="C65" s="35"/>
      <c r="D65" s="35"/>
      <c r="H65" s="31"/>
      <c r="I65" s="31"/>
      <c r="J65" s="31"/>
      <c r="K65" s="31"/>
      <c r="L65" s="31"/>
      <c r="M65" s="31"/>
      <c r="N65" s="31"/>
      <c r="O65" s="31"/>
    </row>
    <row r="66" spans="1:17" s="1" customFormat="1" x14ac:dyDescent="0.3">
      <c r="A66" s="29"/>
      <c r="B66" s="9"/>
      <c r="C66" s="43"/>
      <c r="D66" s="43"/>
      <c r="E66" s="51"/>
      <c r="F66" s="5"/>
      <c r="G66" s="21" t="s">
        <v>284</v>
      </c>
      <c r="H66" s="81">
        <f t="shared" ref="H66:O66" si="15">H64</f>
        <v>180681.80999999997</v>
      </c>
      <c r="I66" s="81">
        <f t="shared" si="15"/>
        <v>244147.87</v>
      </c>
      <c r="J66" s="81">
        <f t="shared" si="15"/>
        <v>234528.21000000002</v>
      </c>
      <c r="K66" s="81">
        <f t="shared" si="15"/>
        <v>241697.32999999996</v>
      </c>
      <c r="L66" s="81">
        <f t="shared" si="15"/>
        <v>265466</v>
      </c>
      <c r="M66" s="81">
        <f t="shared" si="15"/>
        <v>265466</v>
      </c>
      <c r="N66" s="81">
        <f t="shared" si="15"/>
        <v>265466</v>
      </c>
      <c r="O66" s="81">
        <f t="shared" si="15"/>
        <v>261841</v>
      </c>
      <c r="P66" s="926">
        <f>(O66-L66)/L66</f>
        <v>-1.3655232685164956E-2</v>
      </c>
      <c r="Q66" s="158"/>
    </row>
    <row r="67" spans="1:17" ht="26.1" customHeight="1" x14ac:dyDescent="0.3">
      <c r="A67" s="12"/>
      <c r="B67" s="1"/>
      <c r="C67" s="35"/>
      <c r="D67" s="35"/>
    </row>
    <row r="68" spans="1:17" s="1" customFormat="1" ht="15.6" x14ac:dyDescent="0.3">
      <c r="A68" s="14" t="s">
        <v>286</v>
      </c>
      <c r="B68" s="2"/>
      <c r="C68" s="36"/>
      <c r="D68" s="36"/>
      <c r="E68" s="48"/>
      <c r="F68" s="2"/>
      <c r="G68" s="2"/>
      <c r="H68" s="83"/>
      <c r="I68" s="83"/>
      <c r="J68" s="83"/>
      <c r="K68" s="83"/>
      <c r="L68" s="83"/>
      <c r="M68" s="83"/>
      <c r="N68" s="83"/>
      <c r="O68" s="83"/>
      <c r="P68" s="924"/>
      <c r="Q68" s="158"/>
    </row>
    <row r="69" spans="1:17" s="19" customFormat="1" x14ac:dyDescent="0.3">
      <c r="A69" s="29"/>
      <c r="B69" s="9"/>
      <c r="C69" s="43"/>
      <c r="D69" s="43"/>
      <c r="E69" s="27"/>
      <c r="F69" s="8"/>
      <c r="G69" s="8" t="s">
        <v>288</v>
      </c>
      <c r="H69" s="77">
        <f>'BUDGET DETAIL'!S182</f>
        <v>281.89999999999998</v>
      </c>
      <c r="I69" s="77">
        <f>'BUDGET DETAIL'!AF182</f>
        <v>246.76</v>
      </c>
      <c r="J69" s="77">
        <f>'BUDGET DETAIL'!AS182</f>
        <v>600.98</v>
      </c>
      <c r="K69" s="77">
        <f>'BUDGET DETAIL'!BF182</f>
        <v>413.11</v>
      </c>
      <c r="L69" s="77">
        <f>'BUDGET DETAIL'!BR182</f>
        <v>400</v>
      </c>
      <c r="M69" s="77">
        <f>'BUDGET DETAIL'!BW182</f>
        <v>400</v>
      </c>
      <c r="N69" s="77">
        <f>'BUDGET DETAIL'!BZ182</f>
        <v>400</v>
      </c>
      <c r="O69" s="77">
        <f>'BUDGET DETAIL'!CA182</f>
        <v>625</v>
      </c>
      <c r="P69" s="925">
        <f>(O69-L69)/L69</f>
        <v>0.5625</v>
      </c>
      <c r="Q69" s="159"/>
    </row>
    <row r="70" spans="1:17" ht="9.9" customHeight="1" x14ac:dyDescent="0.3">
      <c r="A70" s="12"/>
      <c r="B70" s="1"/>
      <c r="C70" s="35"/>
      <c r="D70" s="35"/>
      <c r="H70" s="31"/>
      <c r="I70" s="31"/>
      <c r="J70" s="31"/>
      <c r="K70" s="31"/>
      <c r="L70" s="31"/>
      <c r="M70" s="31"/>
      <c r="N70" s="31"/>
      <c r="O70" s="31"/>
    </row>
    <row r="71" spans="1:17" s="1" customFormat="1" x14ac:dyDescent="0.3">
      <c r="A71" s="29"/>
      <c r="B71" s="9"/>
      <c r="C71" s="43"/>
      <c r="D71" s="43"/>
      <c r="E71" s="51"/>
      <c r="F71" s="5"/>
      <c r="G71" s="21" t="s">
        <v>287</v>
      </c>
      <c r="H71" s="81">
        <f t="shared" ref="H71:O71" si="16">H69</f>
        <v>281.89999999999998</v>
      </c>
      <c r="I71" s="81">
        <f t="shared" si="16"/>
        <v>246.76</v>
      </c>
      <c r="J71" s="81">
        <f t="shared" si="16"/>
        <v>600.98</v>
      </c>
      <c r="K71" s="81">
        <f t="shared" si="16"/>
        <v>413.11</v>
      </c>
      <c r="L71" s="81">
        <f t="shared" si="16"/>
        <v>400</v>
      </c>
      <c r="M71" s="81">
        <f t="shared" si="16"/>
        <v>400</v>
      </c>
      <c r="N71" s="81">
        <f t="shared" si="16"/>
        <v>400</v>
      </c>
      <c r="O71" s="81">
        <f t="shared" si="16"/>
        <v>625</v>
      </c>
      <c r="P71" s="926">
        <f>(O71-L71)/L71</f>
        <v>0.5625</v>
      </c>
      <c r="Q71" s="158"/>
    </row>
    <row r="72" spans="1:17" ht="26.1" customHeight="1" x14ac:dyDescent="0.3">
      <c r="A72" s="12"/>
      <c r="B72" s="1"/>
      <c r="C72" s="35"/>
      <c r="D72" s="35"/>
    </row>
    <row r="73" spans="1:17" s="1" customFormat="1" ht="15.6" x14ac:dyDescent="0.3">
      <c r="A73" s="14" t="s">
        <v>560</v>
      </c>
      <c r="B73" s="2"/>
      <c r="C73" s="36"/>
      <c r="D73" s="36"/>
      <c r="E73" s="48"/>
      <c r="F73" s="2"/>
      <c r="G73" s="2"/>
      <c r="H73" s="83"/>
      <c r="I73" s="83"/>
      <c r="J73" s="83"/>
      <c r="K73" s="83"/>
      <c r="L73" s="83"/>
      <c r="M73" s="83"/>
      <c r="N73" s="83"/>
      <c r="O73" s="83"/>
      <c r="P73" s="924"/>
      <c r="Q73" s="158"/>
    </row>
    <row r="74" spans="1:17" x14ac:dyDescent="0.3">
      <c r="A74" s="29"/>
      <c r="B74" s="9"/>
      <c r="C74" s="43"/>
      <c r="D74" s="43"/>
      <c r="G74" s="75" t="s">
        <v>11</v>
      </c>
      <c r="H74" s="31">
        <f>'BUDGET DETAIL'!S190</f>
        <v>0</v>
      </c>
      <c r="I74" s="31">
        <f>'BUDGET DETAIL'!AF190</f>
        <v>0</v>
      </c>
      <c r="J74" s="31">
        <f>'BUDGET DETAIL'!AS190</f>
        <v>4999.92</v>
      </c>
      <c r="K74" s="31">
        <f>'BUDGET DETAIL'!BF190</f>
        <v>5000</v>
      </c>
      <c r="L74" s="31">
        <f>'BUDGET DETAIL'!BR190</f>
        <v>5000</v>
      </c>
      <c r="M74" s="31">
        <f>'BUDGET DETAIL'!BW190</f>
        <v>5048</v>
      </c>
      <c r="N74" s="31">
        <f>'BUDGET DETAIL'!BZ190</f>
        <v>5048</v>
      </c>
      <c r="O74" s="31">
        <f>'BUDGET DETAIL'!CA190</f>
        <v>5048</v>
      </c>
      <c r="P74" s="397">
        <f>(O74-L74)/L74</f>
        <v>9.5999999999999992E-3</v>
      </c>
    </row>
    <row r="75" spans="1:17" s="19" customFormat="1" x14ac:dyDescent="0.3">
      <c r="A75" s="12"/>
      <c r="B75" s="1"/>
      <c r="C75" s="35"/>
      <c r="D75" s="35"/>
      <c r="E75" s="54"/>
      <c r="F75" s="8"/>
      <c r="G75" s="56" t="s">
        <v>567</v>
      </c>
      <c r="H75" s="77">
        <f t="shared" ref="H75:O75" si="17">SUM(H74)</f>
        <v>0</v>
      </c>
      <c r="I75" s="77">
        <f t="shared" si="17"/>
        <v>0</v>
      </c>
      <c r="J75" s="77">
        <f t="shared" si="17"/>
        <v>4999.92</v>
      </c>
      <c r="K75" s="77">
        <f t="shared" si="17"/>
        <v>5000</v>
      </c>
      <c r="L75" s="77">
        <f t="shared" si="17"/>
        <v>5000</v>
      </c>
      <c r="M75" s="77">
        <f t="shared" si="17"/>
        <v>5048</v>
      </c>
      <c r="N75" s="77">
        <f t="shared" si="17"/>
        <v>5048</v>
      </c>
      <c r="O75" s="77">
        <f t="shared" si="17"/>
        <v>5048</v>
      </c>
      <c r="P75" s="925">
        <f>(O75-L75)/L75</f>
        <v>9.5999999999999992E-3</v>
      </c>
      <c r="Q75" s="159"/>
    </row>
    <row r="76" spans="1:17" x14ac:dyDescent="0.3">
      <c r="A76" s="29"/>
      <c r="B76" s="9"/>
      <c r="C76" s="43"/>
      <c r="D76" s="43"/>
      <c r="H76" s="31"/>
      <c r="I76" s="31"/>
      <c r="J76" s="31"/>
      <c r="K76" s="31"/>
      <c r="L76" s="31"/>
      <c r="M76" s="31"/>
      <c r="N76" s="31"/>
      <c r="O76" s="31"/>
    </row>
    <row r="77" spans="1:17" s="19" customFormat="1" x14ac:dyDescent="0.3">
      <c r="A77" s="29"/>
      <c r="B77" s="9"/>
      <c r="C77" s="43"/>
      <c r="D77" s="43"/>
      <c r="E77" s="54"/>
      <c r="F77" s="8"/>
      <c r="G77" s="56" t="s">
        <v>566</v>
      </c>
      <c r="H77" s="77">
        <f>'BUDGET DETAIL'!S198</f>
        <v>42093.19</v>
      </c>
      <c r="I77" s="77">
        <f>'BUDGET DETAIL'!AF198</f>
        <v>37400</v>
      </c>
      <c r="J77" s="77">
        <f>'BUDGET DETAIL'!AS198</f>
        <v>39641</v>
      </c>
      <c r="K77" s="77">
        <f>'BUDGET DETAIL'!BF198</f>
        <v>45064.7</v>
      </c>
      <c r="L77" s="77">
        <f>'BUDGET DETAIL'!BR198</f>
        <v>49850</v>
      </c>
      <c r="M77" s="77">
        <f>'BUDGET DETAIL'!BW198</f>
        <v>49850</v>
      </c>
      <c r="N77" s="77">
        <f>'BUDGET DETAIL'!BZ198</f>
        <v>49850</v>
      </c>
      <c r="O77" s="77">
        <f>'BUDGET DETAIL'!CA198</f>
        <v>49850</v>
      </c>
      <c r="P77" s="925">
        <f>(O77-L77)/L77</f>
        <v>0</v>
      </c>
      <c r="Q77" s="159"/>
    </row>
    <row r="78" spans="1:17" ht="9.9" customHeight="1" x14ac:dyDescent="0.3">
      <c r="A78" s="12"/>
      <c r="B78" s="1"/>
      <c r="C78" s="35"/>
      <c r="D78" s="35"/>
      <c r="H78" s="31"/>
      <c r="I78" s="31"/>
      <c r="J78" s="31"/>
      <c r="K78" s="31"/>
      <c r="L78" s="31"/>
      <c r="M78" s="31"/>
      <c r="N78" s="31"/>
      <c r="O78" s="31"/>
    </row>
    <row r="79" spans="1:17" s="1" customFormat="1" x14ac:dyDescent="0.3">
      <c r="A79" s="29"/>
      <c r="B79" s="9"/>
      <c r="C79" s="43"/>
      <c r="D79" s="43"/>
      <c r="E79" s="51"/>
      <c r="F79" s="5"/>
      <c r="G79" s="21" t="s">
        <v>565</v>
      </c>
      <c r="H79" s="81">
        <f t="shared" ref="H79:O79" si="18">H75+H77</f>
        <v>42093.19</v>
      </c>
      <c r="I79" s="81">
        <f t="shared" si="18"/>
        <v>37400</v>
      </c>
      <c r="J79" s="81">
        <f t="shared" si="18"/>
        <v>44640.92</v>
      </c>
      <c r="K79" s="81">
        <f t="shared" si="18"/>
        <v>50064.7</v>
      </c>
      <c r="L79" s="81">
        <f t="shared" si="18"/>
        <v>54850</v>
      </c>
      <c r="M79" s="81">
        <f t="shared" si="18"/>
        <v>54898</v>
      </c>
      <c r="N79" s="81">
        <f t="shared" si="18"/>
        <v>54898</v>
      </c>
      <c r="O79" s="81">
        <f t="shared" si="18"/>
        <v>54898</v>
      </c>
      <c r="P79" s="926">
        <f>(O79-L79)/L79</f>
        <v>8.7511394712853235E-4</v>
      </c>
      <c r="Q79" s="158"/>
    </row>
    <row r="80" spans="1:17" ht="26.1" customHeight="1" x14ac:dyDescent="0.3">
      <c r="A80" s="12"/>
      <c r="B80" s="1"/>
      <c r="C80" s="35"/>
      <c r="D80" s="35"/>
    </row>
    <row r="81" spans="1:17" s="1" customFormat="1" ht="15.6" x14ac:dyDescent="0.3">
      <c r="A81" s="14" t="s">
        <v>156</v>
      </c>
      <c r="B81" s="2"/>
      <c r="C81" s="36"/>
      <c r="D81" s="36"/>
      <c r="E81" s="48"/>
      <c r="F81" s="2"/>
      <c r="G81" s="2"/>
      <c r="H81" s="83"/>
      <c r="I81" s="83"/>
      <c r="J81" s="83"/>
      <c r="K81" s="83"/>
      <c r="L81" s="83"/>
      <c r="M81" s="83"/>
      <c r="N81" s="83"/>
      <c r="O81" s="83"/>
      <c r="P81" s="924"/>
      <c r="Q81" s="158"/>
    </row>
    <row r="82" spans="1:17" x14ac:dyDescent="0.3">
      <c r="A82" s="12"/>
      <c r="G82" s="75" t="s">
        <v>369</v>
      </c>
      <c r="H82" s="31">
        <f>'BUDGET DETAIL'!S205</f>
        <v>61925.42</v>
      </c>
      <c r="I82" s="31">
        <f>'BUDGET DETAIL'!AF205</f>
        <v>69804.800000000003</v>
      </c>
      <c r="J82" s="31">
        <f>'BUDGET DETAIL'!AS205</f>
        <v>73716.320000000007</v>
      </c>
      <c r="K82" s="31">
        <f>'BUDGET DETAIL'!BF205</f>
        <v>75460.320000000007</v>
      </c>
      <c r="L82" s="31">
        <f>'BUDGET DETAIL'!BR205</f>
        <v>76964</v>
      </c>
      <c r="M82" s="31">
        <f>'BUDGET DETAIL'!BW205</f>
        <v>78509</v>
      </c>
      <c r="N82" s="31">
        <f>'BUDGET DETAIL'!BZ205</f>
        <v>78509</v>
      </c>
      <c r="O82" s="31">
        <f>'BUDGET DETAIL'!CA205</f>
        <v>78509</v>
      </c>
      <c r="P82" s="397">
        <f>(O82-L82)/L82</f>
        <v>2.0074320461514476E-2</v>
      </c>
    </row>
    <row r="83" spans="1:17" x14ac:dyDescent="0.3">
      <c r="A83" s="12"/>
      <c r="G83" s="75" t="s">
        <v>11</v>
      </c>
      <c r="H83" s="31">
        <f>'BUDGET DETAIL'!S213</f>
        <v>23396.43</v>
      </c>
      <c r="I83" s="31">
        <f>'BUDGET DETAIL'!AF213</f>
        <v>29755.98</v>
      </c>
      <c r="J83" s="31">
        <f>'BUDGET DETAIL'!AS213</f>
        <v>27976.6</v>
      </c>
      <c r="K83" s="31">
        <f>'BUDGET DETAIL'!BF213</f>
        <v>29819.19</v>
      </c>
      <c r="L83" s="31">
        <f>'BUDGET DETAIL'!BR213</f>
        <v>28328</v>
      </c>
      <c r="M83" s="31">
        <f>'BUDGET DETAIL'!BW213</f>
        <v>28638</v>
      </c>
      <c r="N83" s="31">
        <f>'BUDGET DETAIL'!BZ213</f>
        <v>28638</v>
      </c>
      <c r="O83" s="31">
        <f>'BUDGET DETAIL'!CA213</f>
        <v>38307</v>
      </c>
      <c r="P83" s="397">
        <f>(O83-L83)/L83</f>
        <v>0.35226630895227334</v>
      </c>
    </row>
    <row r="84" spans="1:17" s="19" customFormat="1" x14ac:dyDescent="0.3">
      <c r="A84" s="29"/>
      <c r="B84" s="9"/>
      <c r="C84" s="43"/>
      <c r="D84" s="43"/>
      <c r="E84" s="54"/>
      <c r="F84" s="8"/>
      <c r="G84" s="8" t="s">
        <v>132</v>
      </c>
      <c r="H84" s="77">
        <f t="shared" ref="H84:O84" si="19">H82+H83</f>
        <v>85321.85</v>
      </c>
      <c r="I84" s="77">
        <f t="shared" si="19"/>
        <v>99560.78</v>
      </c>
      <c r="J84" s="77">
        <f t="shared" si="19"/>
        <v>101692.92000000001</v>
      </c>
      <c r="K84" s="77">
        <f t="shared" si="19"/>
        <v>105279.51000000001</v>
      </c>
      <c r="L84" s="77">
        <f t="shared" si="19"/>
        <v>105292</v>
      </c>
      <c r="M84" s="77">
        <f t="shared" si="19"/>
        <v>107147</v>
      </c>
      <c r="N84" s="77">
        <f t="shared" si="19"/>
        <v>107147</v>
      </c>
      <c r="O84" s="77">
        <f t="shared" si="19"/>
        <v>116816</v>
      </c>
      <c r="P84" s="925">
        <f>(O84-L84)/L84</f>
        <v>0.10944801124491889</v>
      </c>
      <c r="Q84" s="159"/>
    </row>
    <row r="85" spans="1:17" x14ac:dyDescent="0.3">
      <c r="H85" s="31"/>
      <c r="I85" s="31"/>
      <c r="J85" s="31"/>
      <c r="K85" s="31"/>
      <c r="L85" s="31"/>
      <c r="M85" s="31"/>
      <c r="N85" s="31"/>
      <c r="O85" s="31"/>
    </row>
    <row r="86" spans="1:17" s="19" customFormat="1" x14ac:dyDescent="0.3">
      <c r="A86" s="29"/>
      <c r="B86" s="9"/>
      <c r="C86" s="43"/>
      <c r="D86" s="43"/>
      <c r="E86" s="54"/>
      <c r="F86" s="8"/>
      <c r="G86" s="8" t="s">
        <v>130</v>
      </c>
      <c r="H86" s="77">
        <f>'BUDGET DETAIL'!S232</f>
        <v>10994.57</v>
      </c>
      <c r="I86" s="77">
        <f>'BUDGET DETAIL'!AF232</f>
        <v>14527.95</v>
      </c>
      <c r="J86" s="77">
        <f>'BUDGET DETAIL'!AS232</f>
        <v>11906.73</v>
      </c>
      <c r="K86" s="77">
        <f>'BUDGET DETAIL'!BF232</f>
        <v>12337.529999999999</v>
      </c>
      <c r="L86" s="77">
        <f>'BUDGET DETAIL'!BR232</f>
        <v>20457</v>
      </c>
      <c r="M86" s="77">
        <f>'BUDGET DETAIL'!BW232</f>
        <v>20457</v>
      </c>
      <c r="N86" s="77">
        <f>'BUDGET DETAIL'!BZ232</f>
        <v>20457</v>
      </c>
      <c r="O86" s="77">
        <f>'BUDGET DETAIL'!CA232</f>
        <v>23277</v>
      </c>
      <c r="P86" s="925">
        <f>(O86-L86)/L86</f>
        <v>0.13785012465170846</v>
      </c>
      <c r="Q86" s="159"/>
    </row>
    <row r="87" spans="1:17" ht="9.9" customHeight="1" x14ac:dyDescent="0.3">
      <c r="H87" s="31"/>
      <c r="I87" s="31"/>
      <c r="J87" s="31"/>
      <c r="K87" s="31"/>
      <c r="L87" s="31"/>
      <c r="M87" s="31"/>
      <c r="N87" s="31"/>
      <c r="O87" s="31"/>
    </row>
    <row r="88" spans="1:17" s="1" customFormat="1" x14ac:dyDescent="0.3">
      <c r="A88" s="29"/>
      <c r="B88" s="9"/>
      <c r="C88" s="43"/>
      <c r="D88" s="43"/>
      <c r="E88" s="51"/>
      <c r="F88" s="5"/>
      <c r="G88" s="21" t="s">
        <v>131</v>
      </c>
      <c r="H88" s="81">
        <f t="shared" ref="H88:O88" si="20">H84+H86</f>
        <v>96316.420000000013</v>
      </c>
      <c r="I88" s="81">
        <f t="shared" si="20"/>
        <v>114088.73</v>
      </c>
      <c r="J88" s="81">
        <f t="shared" si="20"/>
        <v>113599.65000000001</v>
      </c>
      <c r="K88" s="81">
        <f t="shared" si="20"/>
        <v>117617.04000000001</v>
      </c>
      <c r="L88" s="81">
        <f t="shared" si="20"/>
        <v>125749</v>
      </c>
      <c r="M88" s="81">
        <f t="shared" si="20"/>
        <v>127604</v>
      </c>
      <c r="N88" s="81">
        <f t="shared" si="20"/>
        <v>127604</v>
      </c>
      <c r="O88" s="81">
        <f t="shared" si="20"/>
        <v>140093</v>
      </c>
      <c r="P88" s="926">
        <f>(O88-L88)/L88</f>
        <v>0.11406850153877963</v>
      </c>
      <c r="Q88" s="158"/>
    </row>
    <row r="89" spans="1:17" ht="26.1" customHeight="1" x14ac:dyDescent="0.3">
      <c r="A89" s="12"/>
      <c r="B89" s="1"/>
      <c r="C89" s="35"/>
      <c r="D89" s="35"/>
    </row>
    <row r="90" spans="1:17" s="1" customFormat="1" ht="15.6" x14ac:dyDescent="0.3">
      <c r="A90" s="14" t="s">
        <v>501</v>
      </c>
      <c r="B90" s="2"/>
      <c r="C90" s="36"/>
      <c r="D90" s="36"/>
      <c r="E90" s="48"/>
      <c r="F90" s="2"/>
      <c r="G90" s="2"/>
      <c r="H90" s="83"/>
      <c r="I90" s="83"/>
      <c r="J90" s="83"/>
      <c r="K90" s="83"/>
      <c r="L90" s="83"/>
      <c r="M90" s="83"/>
      <c r="N90" s="83"/>
      <c r="O90" s="83"/>
      <c r="P90" s="924"/>
      <c r="Q90" s="158"/>
    </row>
    <row r="91" spans="1:17" s="19" customFormat="1" x14ac:dyDescent="0.3">
      <c r="A91" s="29"/>
      <c r="B91" s="9"/>
      <c r="C91" s="43"/>
      <c r="D91" s="43"/>
      <c r="E91" s="54"/>
      <c r="F91" s="8"/>
      <c r="G91" s="8" t="s">
        <v>501</v>
      </c>
      <c r="H91" s="77">
        <f>'BUDGET DETAIL'!S238</f>
        <v>0</v>
      </c>
      <c r="I91" s="77">
        <f>'BUDGET DETAIL'!AF238</f>
        <v>0</v>
      </c>
      <c r="J91" s="77">
        <f>'BUDGET DETAIL'!AS238</f>
        <v>0</v>
      </c>
      <c r="K91" s="77">
        <f>'BUDGET DETAIL'!BF238</f>
        <v>0</v>
      </c>
      <c r="L91" s="77">
        <f>'BUDGET DETAIL'!BR238</f>
        <v>0</v>
      </c>
      <c r="M91" s="77">
        <f>'BUDGET DETAIL'!BW238</f>
        <v>0</v>
      </c>
      <c r="N91" s="77">
        <f>'BUDGET DETAIL'!BZ238</f>
        <v>0</v>
      </c>
      <c r="O91" s="77">
        <f>'BUDGET DETAIL'!CA238</f>
        <v>0</v>
      </c>
      <c r="P91" s="925"/>
      <c r="Q91" s="159"/>
    </row>
    <row r="92" spans="1:17" ht="9.9" customHeight="1" x14ac:dyDescent="0.3">
      <c r="H92" s="31"/>
      <c r="I92" s="31"/>
      <c r="J92" s="31"/>
      <c r="K92" s="31"/>
      <c r="L92" s="31"/>
      <c r="M92" s="31"/>
      <c r="N92" s="31"/>
      <c r="O92" s="31"/>
    </row>
    <row r="93" spans="1:17" s="1" customFormat="1" x14ac:dyDescent="0.3">
      <c r="A93" s="29"/>
      <c r="B93" s="9"/>
      <c r="C93" s="43"/>
      <c r="D93" s="43"/>
      <c r="E93" s="51"/>
      <c r="F93" s="5"/>
      <c r="G93" s="21" t="s">
        <v>504</v>
      </c>
      <c r="H93" s="81">
        <f t="shared" ref="H93:O93" si="21">H91</f>
        <v>0</v>
      </c>
      <c r="I93" s="81">
        <f t="shared" si="21"/>
        <v>0</v>
      </c>
      <c r="J93" s="81">
        <f t="shared" si="21"/>
        <v>0</v>
      </c>
      <c r="K93" s="81">
        <f t="shared" si="21"/>
        <v>0</v>
      </c>
      <c r="L93" s="81">
        <f t="shared" si="21"/>
        <v>0</v>
      </c>
      <c r="M93" s="81">
        <f t="shared" si="21"/>
        <v>0</v>
      </c>
      <c r="N93" s="81">
        <f t="shared" si="21"/>
        <v>0</v>
      </c>
      <c r="O93" s="81">
        <f t="shared" si="21"/>
        <v>0</v>
      </c>
      <c r="P93" s="926"/>
      <c r="Q93" s="158"/>
    </row>
    <row r="94" spans="1:17" ht="26.1" customHeight="1" x14ac:dyDescent="0.3">
      <c r="A94" s="12"/>
      <c r="B94" s="1"/>
      <c r="C94" s="35"/>
      <c r="D94" s="35"/>
    </row>
    <row r="95" spans="1:17" s="1" customFormat="1" ht="15.6" x14ac:dyDescent="0.3">
      <c r="A95" s="14" t="s">
        <v>127</v>
      </c>
      <c r="B95" s="2"/>
      <c r="C95" s="36"/>
      <c r="D95" s="36"/>
      <c r="E95" s="48"/>
      <c r="F95" s="2"/>
      <c r="G95" s="2"/>
      <c r="H95" s="83"/>
      <c r="I95" s="83"/>
      <c r="J95" s="83"/>
      <c r="K95" s="83"/>
      <c r="L95" s="83"/>
      <c r="M95" s="83"/>
      <c r="N95" s="83"/>
      <c r="O95" s="83"/>
      <c r="P95" s="924"/>
      <c r="Q95" s="158"/>
    </row>
    <row r="96" spans="1:17" x14ac:dyDescent="0.3">
      <c r="A96" s="12"/>
      <c r="G96" s="75" t="s">
        <v>369</v>
      </c>
      <c r="H96" s="31">
        <f>'BUDGET DETAIL'!S245</f>
        <v>61225.81</v>
      </c>
      <c r="I96" s="31">
        <f>'BUDGET DETAIL'!AF245</f>
        <v>64646.400000000001</v>
      </c>
      <c r="J96" s="31">
        <f>'BUDGET DETAIL'!AS245</f>
        <v>68245.759999999995</v>
      </c>
      <c r="K96" s="31">
        <f>'BUDGET DETAIL'!BF245</f>
        <v>69906.240000000005</v>
      </c>
      <c r="L96" s="31">
        <f>'BUDGET DETAIL'!BR245</f>
        <v>71306</v>
      </c>
      <c r="M96" s="31">
        <f>'BUDGET DETAIL'!BW245</f>
        <v>72726</v>
      </c>
      <c r="N96" s="31">
        <f>'BUDGET DETAIL'!BZ245</f>
        <v>72726</v>
      </c>
      <c r="O96" s="31">
        <f>'BUDGET DETAIL'!CA245</f>
        <v>72726</v>
      </c>
      <c r="P96" s="397">
        <f>(O96-L96)/L96</f>
        <v>1.9914172720388187E-2</v>
      </c>
    </row>
    <row r="97" spans="1:18" x14ac:dyDescent="0.3">
      <c r="A97" s="12"/>
      <c r="G97" s="75" t="s">
        <v>11</v>
      </c>
      <c r="H97" s="31">
        <f>'BUDGET DETAIL'!S249</f>
        <v>17787.919999999998</v>
      </c>
      <c r="I97" s="31">
        <f>'BUDGET DETAIL'!AF249</f>
        <v>22939.8</v>
      </c>
      <c r="J97" s="31">
        <f>'BUDGET DETAIL'!AS249</f>
        <v>24239.89</v>
      </c>
      <c r="K97" s="31">
        <f>'BUDGET DETAIL'!BF249</f>
        <v>24785.98</v>
      </c>
      <c r="L97" s="31">
        <f>'BUDGET DETAIL'!BR249</f>
        <v>25291</v>
      </c>
      <c r="M97" s="31">
        <f>'BUDGET DETAIL'!BW249</f>
        <v>25681</v>
      </c>
      <c r="N97" s="31">
        <f>'BUDGET DETAIL'!BZ249</f>
        <v>25681</v>
      </c>
      <c r="O97" s="31">
        <f>'BUDGET DETAIL'!CA249</f>
        <v>25681</v>
      </c>
      <c r="P97" s="397">
        <f>(O97-L97)/L97</f>
        <v>1.5420505318097346E-2</v>
      </c>
    </row>
    <row r="98" spans="1:18" s="19" customFormat="1" x14ac:dyDescent="0.3">
      <c r="A98" s="29"/>
      <c r="B98" s="9"/>
      <c r="C98" s="43"/>
      <c r="D98" s="43"/>
      <c r="E98" s="54"/>
      <c r="F98" s="8"/>
      <c r="G98" s="56" t="s">
        <v>128</v>
      </c>
      <c r="H98" s="77">
        <f t="shared" ref="H98:O98" si="22">H96+H97</f>
        <v>79013.73</v>
      </c>
      <c r="I98" s="77">
        <f t="shared" si="22"/>
        <v>87586.2</v>
      </c>
      <c r="J98" s="77">
        <f t="shared" si="22"/>
        <v>92485.65</v>
      </c>
      <c r="K98" s="77">
        <f t="shared" si="22"/>
        <v>94692.22</v>
      </c>
      <c r="L98" s="77">
        <f t="shared" si="22"/>
        <v>96597</v>
      </c>
      <c r="M98" s="77">
        <f t="shared" si="22"/>
        <v>98407</v>
      </c>
      <c r="N98" s="77">
        <f t="shared" si="22"/>
        <v>98407</v>
      </c>
      <c r="O98" s="77">
        <f t="shared" si="22"/>
        <v>98407</v>
      </c>
      <c r="P98" s="925">
        <f>(O98-L98)/L98</f>
        <v>1.8737641955754319E-2</v>
      </c>
      <c r="Q98" s="159"/>
    </row>
    <row r="99" spans="1:18" ht="9.9" customHeight="1" x14ac:dyDescent="0.3">
      <c r="A99" s="29"/>
      <c r="B99" s="9"/>
      <c r="C99" s="43"/>
      <c r="D99" s="43"/>
      <c r="H99" s="31"/>
      <c r="I99" s="31"/>
      <c r="J99" s="31"/>
      <c r="K99" s="31"/>
      <c r="L99" s="31"/>
      <c r="M99" s="31"/>
      <c r="N99" s="31"/>
      <c r="O99" s="31"/>
    </row>
    <row r="100" spans="1:18" s="1" customFormat="1" x14ac:dyDescent="0.3">
      <c r="A100" s="29"/>
      <c r="B100" s="9"/>
      <c r="C100" s="43"/>
      <c r="D100" s="43"/>
      <c r="E100" s="51"/>
      <c r="F100" s="5"/>
      <c r="G100" s="21" t="s">
        <v>129</v>
      </c>
      <c r="H100" s="81">
        <f t="shared" ref="H100:O100" si="23">H98</f>
        <v>79013.73</v>
      </c>
      <c r="I100" s="81">
        <f t="shared" si="23"/>
        <v>87586.2</v>
      </c>
      <c r="J100" s="81">
        <f t="shared" si="23"/>
        <v>92485.65</v>
      </c>
      <c r="K100" s="81">
        <f t="shared" si="23"/>
        <v>94692.22</v>
      </c>
      <c r="L100" s="81">
        <f t="shared" si="23"/>
        <v>96597</v>
      </c>
      <c r="M100" s="81">
        <f t="shared" si="23"/>
        <v>98407</v>
      </c>
      <c r="N100" s="81">
        <f t="shared" si="23"/>
        <v>98407</v>
      </c>
      <c r="O100" s="81">
        <f t="shared" si="23"/>
        <v>98407</v>
      </c>
      <c r="P100" s="926">
        <f>(O100-L100)/L100</f>
        <v>1.8737641955754319E-2</v>
      </c>
      <c r="Q100" s="158"/>
    </row>
    <row r="101" spans="1:18" ht="26.1" customHeight="1" x14ac:dyDescent="0.3">
      <c r="A101" s="12"/>
      <c r="B101" s="1"/>
      <c r="C101" s="35"/>
      <c r="D101" s="35"/>
      <c r="R101" s="16"/>
    </row>
    <row r="102" spans="1:18" s="1" customFormat="1" ht="15.6" x14ac:dyDescent="0.3">
      <c r="A102" s="14" t="s">
        <v>124</v>
      </c>
      <c r="B102" s="2"/>
      <c r="C102" s="36"/>
      <c r="D102" s="36"/>
      <c r="E102" s="48"/>
      <c r="F102" s="2"/>
      <c r="G102" s="2"/>
      <c r="H102" s="15"/>
      <c r="I102" s="15"/>
      <c r="J102" s="15"/>
      <c r="K102" s="15"/>
      <c r="L102" s="15"/>
      <c r="M102" s="15"/>
      <c r="N102" s="15"/>
      <c r="O102" s="15"/>
      <c r="P102" s="924"/>
      <c r="Q102" s="158"/>
    </row>
    <row r="103" spans="1:18" x14ac:dyDescent="0.3">
      <c r="G103" s="75" t="s">
        <v>11</v>
      </c>
      <c r="H103" s="16">
        <f>'BUDGET DETAIL'!S258</f>
        <v>0</v>
      </c>
      <c r="I103" s="16">
        <f>'BUDGET DETAIL'!AF258</f>
        <v>0</v>
      </c>
      <c r="J103" s="16">
        <f>'BUDGET DETAIL'!AS258</f>
        <v>0</v>
      </c>
      <c r="K103" s="16">
        <f>'BUDGET DETAIL'!BF258</f>
        <v>0</v>
      </c>
      <c r="L103" s="16">
        <f>'BUDGET DETAIL'!BR258</f>
        <v>5</v>
      </c>
      <c r="M103" s="16">
        <f>'BUDGET DETAIL'!BW258</f>
        <v>5</v>
      </c>
      <c r="N103" s="16">
        <f>'BUDGET DETAIL'!BZ258</f>
        <v>5</v>
      </c>
      <c r="O103" s="16">
        <f>'BUDGET DETAIL'!CA258</f>
        <v>5</v>
      </c>
      <c r="P103" s="397">
        <f>(O103-L103)/L103</f>
        <v>0</v>
      </c>
    </row>
    <row r="104" spans="1:18" s="19" customFormat="1" x14ac:dyDescent="0.3">
      <c r="A104" s="29"/>
      <c r="B104" s="9"/>
      <c r="C104" s="43"/>
      <c r="D104" s="43"/>
      <c r="E104" s="54"/>
      <c r="F104" s="8"/>
      <c r="G104" s="8" t="s">
        <v>157</v>
      </c>
      <c r="H104" s="28">
        <f t="shared" ref="H104:O104" si="24">SUM(H103:H103)</f>
        <v>0</v>
      </c>
      <c r="I104" s="28">
        <f t="shared" si="24"/>
        <v>0</v>
      </c>
      <c r="J104" s="28">
        <f t="shared" si="24"/>
        <v>0</v>
      </c>
      <c r="K104" s="28">
        <f t="shared" si="24"/>
        <v>0</v>
      </c>
      <c r="L104" s="28">
        <f t="shared" si="24"/>
        <v>5</v>
      </c>
      <c r="M104" s="28">
        <f t="shared" si="24"/>
        <v>5</v>
      </c>
      <c r="N104" s="28">
        <f t="shared" si="24"/>
        <v>5</v>
      </c>
      <c r="O104" s="28">
        <f t="shared" si="24"/>
        <v>5</v>
      </c>
      <c r="P104" s="925">
        <f>(O104-L104)/L104</f>
        <v>0</v>
      </c>
      <c r="Q104" s="159"/>
    </row>
    <row r="106" spans="1:18" s="19" customFormat="1" x14ac:dyDescent="0.3">
      <c r="A106" s="29"/>
      <c r="B106" s="9"/>
      <c r="C106" s="43"/>
      <c r="D106" s="43"/>
      <c r="E106" s="54"/>
      <c r="F106" s="8"/>
      <c r="G106" s="8" t="s">
        <v>125</v>
      </c>
      <c r="H106" s="28">
        <f>'BUDGET DETAIL'!S267</f>
        <v>990.18999999999994</v>
      </c>
      <c r="I106" s="28">
        <f>'BUDGET DETAIL'!AF267</f>
        <v>2963.12</v>
      </c>
      <c r="J106" s="28">
        <f>'BUDGET DETAIL'!AS267</f>
        <v>110.42</v>
      </c>
      <c r="K106" s="28">
        <f>'BUDGET DETAIL'!BF267</f>
        <v>937.76</v>
      </c>
      <c r="L106" s="28">
        <f>'BUDGET DETAIL'!BR267</f>
        <v>1791</v>
      </c>
      <c r="M106" s="28">
        <f>'BUDGET DETAIL'!BW267</f>
        <v>1750</v>
      </c>
      <c r="N106" s="28">
        <f>'BUDGET DETAIL'!BZ267</f>
        <v>1750</v>
      </c>
      <c r="O106" s="28">
        <f>'BUDGET DETAIL'!CA267</f>
        <v>1750</v>
      </c>
      <c r="P106" s="925">
        <f>(O106-L106)/L106</f>
        <v>-2.2892238972640984E-2</v>
      </c>
      <c r="Q106" s="159"/>
    </row>
    <row r="107" spans="1:18" ht="9.9" customHeight="1" x14ac:dyDescent="0.3"/>
    <row r="108" spans="1:18" s="1" customFormat="1" x14ac:dyDescent="0.3">
      <c r="A108" s="29"/>
      <c r="B108" s="9"/>
      <c r="C108" s="43"/>
      <c r="D108" s="43"/>
      <c r="E108" s="51"/>
      <c r="F108" s="5"/>
      <c r="G108" s="21" t="s">
        <v>126</v>
      </c>
      <c r="H108" s="22">
        <f t="shared" ref="H108:O108" si="25">H104+H106</f>
        <v>990.18999999999994</v>
      </c>
      <c r="I108" s="22">
        <f t="shared" si="25"/>
        <v>2963.12</v>
      </c>
      <c r="J108" s="22">
        <f t="shared" si="25"/>
        <v>110.42</v>
      </c>
      <c r="K108" s="22">
        <f t="shared" si="25"/>
        <v>937.76</v>
      </c>
      <c r="L108" s="22">
        <f t="shared" si="25"/>
        <v>1796</v>
      </c>
      <c r="M108" s="22">
        <f t="shared" si="25"/>
        <v>1755</v>
      </c>
      <c r="N108" s="22">
        <f t="shared" si="25"/>
        <v>1755</v>
      </c>
      <c r="O108" s="22">
        <f t="shared" si="25"/>
        <v>1755</v>
      </c>
      <c r="P108" s="926">
        <f>(O108-L108)/L108</f>
        <v>-2.2828507795100223E-2</v>
      </c>
      <c r="Q108" s="158"/>
    </row>
    <row r="109" spans="1:18" ht="26.1" customHeight="1" x14ac:dyDescent="0.3">
      <c r="A109" s="12"/>
      <c r="B109" s="1"/>
      <c r="C109" s="35"/>
      <c r="D109" s="35"/>
    </row>
    <row r="110" spans="1:18" s="1" customFormat="1" ht="15.6" x14ac:dyDescent="0.3">
      <c r="A110" s="14" t="s">
        <v>121</v>
      </c>
      <c r="B110" s="2"/>
      <c r="C110" s="36"/>
      <c r="D110" s="36"/>
      <c r="E110" s="48"/>
      <c r="F110" s="2"/>
      <c r="G110" s="2"/>
      <c r="H110" s="15"/>
      <c r="I110" s="15"/>
      <c r="J110" s="15"/>
      <c r="K110" s="15"/>
      <c r="L110" s="15"/>
      <c r="M110" s="15"/>
      <c r="N110" s="15"/>
      <c r="O110" s="15"/>
      <c r="P110" s="924"/>
      <c r="Q110" s="158"/>
    </row>
    <row r="111" spans="1:18" s="19" customFormat="1" x14ac:dyDescent="0.3">
      <c r="A111" s="29"/>
      <c r="B111" s="9"/>
      <c r="C111" s="43"/>
      <c r="D111" s="43"/>
      <c r="E111" s="54"/>
      <c r="F111" s="8"/>
      <c r="G111" s="8" t="s">
        <v>122</v>
      </c>
      <c r="H111" s="28">
        <f>'BUDGET DETAIL'!S277</f>
        <v>553.67999999999995</v>
      </c>
      <c r="I111" s="28">
        <f>'BUDGET DETAIL'!AF277</f>
        <v>739.13</v>
      </c>
      <c r="J111" s="28">
        <f>'BUDGET DETAIL'!AS277</f>
        <v>214.32</v>
      </c>
      <c r="K111" s="28">
        <f>'BUDGET DETAIL'!BF277</f>
        <v>130.24</v>
      </c>
      <c r="L111" s="28">
        <f>'BUDGET DETAIL'!BR277</f>
        <v>745</v>
      </c>
      <c r="M111" s="28">
        <f>'BUDGET DETAIL'!BW277</f>
        <v>750</v>
      </c>
      <c r="N111" s="28">
        <f>'BUDGET DETAIL'!BZ277</f>
        <v>750</v>
      </c>
      <c r="O111" s="28">
        <f>'BUDGET DETAIL'!CA277</f>
        <v>750</v>
      </c>
      <c r="P111" s="925">
        <f>(O111-L111)/L111</f>
        <v>6.7114093959731542E-3</v>
      </c>
      <c r="Q111" s="159"/>
    </row>
    <row r="112" spans="1:18" ht="9.9" customHeight="1" x14ac:dyDescent="0.3"/>
    <row r="113" spans="1:18" s="1" customFormat="1" x14ac:dyDescent="0.3">
      <c r="A113" s="29"/>
      <c r="B113" s="9"/>
      <c r="C113" s="43"/>
      <c r="D113" s="43"/>
      <c r="E113" s="51"/>
      <c r="F113" s="5"/>
      <c r="G113" s="21" t="s">
        <v>123</v>
      </c>
      <c r="H113" s="22">
        <f t="shared" ref="H113:O113" si="26">H111</f>
        <v>553.67999999999995</v>
      </c>
      <c r="I113" s="22">
        <f t="shared" si="26"/>
        <v>739.13</v>
      </c>
      <c r="J113" s="22">
        <f t="shared" si="26"/>
        <v>214.32</v>
      </c>
      <c r="K113" s="22">
        <f t="shared" si="26"/>
        <v>130.24</v>
      </c>
      <c r="L113" s="22">
        <f t="shared" si="26"/>
        <v>745</v>
      </c>
      <c r="M113" s="22">
        <f t="shared" si="26"/>
        <v>750</v>
      </c>
      <c r="N113" s="22">
        <f t="shared" si="26"/>
        <v>750</v>
      </c>
      <c r="O113" s="22">
        <f t="shared" si="26"/>
        <v>750</v>
      </c>
      <c r="P113" s="926">
        <f>(O113-L113)/L113</f>
        <v>6.7114093959731542E-3</v>
      </c>
      <c r="Q113" s="158"/>
    </row>
    <row r="114" spans="1:18" ht="26.1" customHeight="1" x14ac:dyDescent="0.3">
      <c r="A114" s="12"/>
      <c r="B114" s="1"/>
      <c r="C114" s="35"/>
      <c r="D114" s="35"/>
    </row>
    <row r="115" spans="1:18" s="1" customFormat="1" ht="20.100000000000001" customHeight="1" x14ac:dyDescent="0.3">
      <c r="A115" s="58" t="s">
        <v>337</v>
      </c>
      <c r="B115" s="59"/>
      <c r="C115" s="60"/>
      <c r="D115" s="60"/>
      <c r="E115" s="61"/>
      <c r="F115" s="59"/>
      <c r="G115" s="59"/>
      <c r="H115" s="62">
        <f t="shared" ref="H115" si="27">H113+H108+H100+H93+H88+H79+H71+H66+H61+H52+H43+H34+H24+H19+H10</f>
        <v>1299955.8800000001</v>
      </c>
      <c r="I115" s="62">
        <f t="shared" ref="I115:J115" si="28">I113+I108+I100+I93+I88+I79+I71+I66+I61+I52+I43+I34+I24+I19+I10</f>
        <v>1511738.73</v>
      </c>
      <c r="J115" s="62">
        <f t="shared" si="28"/>
        <v>1428803.55</v>
      </c>
      <c r="K115" s="62">
        <f t="shared" ref="K115:L115" si="29">K113+K108+K100+K93+K88+K79+K71+K66+K61+K52+K43+K34+K24+K19+K10</f>
        <v>1486810.96</v>
      </c>
      <c r="L115" s="62">
        <f t="shared" si="29"/>
        <v>1705960</v>
      </c>
      <c r="M115" s="62">
        <f t="shared" ref="M115:O115" si="30">M113+M108+M100+M93+M88+M79+M71+M66+M61+M52+M43+M34+M24+M19+M10</f>
        <v>1720000</v>
      </c>
      <c r="N115" s="62">
        <f t="shared" si="30"/>
        <v>1720000</v>
      </c>
      <c r="O115" s="62">
        <f t="shared" si="30"/>
        <v>1758942</v>
      </c>
      <c r="P115" s="927">
        <f>(O115-L115)/L115</f>
        <v>3.105700016413046E-2</v>
      </c>
      <c r="Q115" s="158"/>
      <c r="R115" s="26"/>
    </row>
    <row r="116" spans="1:18" s="1" customFormat="1" ht="20.100000000000001" customHeight="1" x14ac:dyDescent="0.3">
      <c r="A116" s="33"/>
      <c r="B116" s="10"/>
      <c r="C116" s="44"/>
      <c r="D116" s="44"/>
      <c r="E116" s="55"/>
      <c r="F116" s="10"/>
      <c r="G116" s="10"/>
      <c r="H116" s="34"/>
      <c r="I116" s="34"/>
      <c r="J116" s="34"/>
      <c r="K116" s="34"/>
      <c r="L116" s="34"/>
      <c r="M116" s="34"/>
      <c r="N116" s="34"/>
      <c r="O116" s="34"/>
      <c r="P116" s="397"/>
      <c r="Q116" s="158"/>
      <c r="R116" s="26"/>
    </row>
    <row r="117" spans="1:18" s="1" customFormat="1" ht="20.100000000000001" customHeight="1" x14ac:dyDescent="0.3">
      <c r="A117" s="33"/>
      <c r="B117" s="10"/>
      <c r="C117" s="44"/>
      <c r="D117" s="44"/>
      <c r="E117" s="55"/>
      <c r="F117" s="10"/>
      <c r="G117" s="10"/>
      <c r="H117" s="34"/>
      <c r="I117" s="34"/>
      <c r="J117" s="34"/>
      <c r="K117" s="34"/>
      <c r="L117" s="34"/>
      <c r="M117" s="34"/>
      <c r="N117" s="34"/>
      <c r="O117" s="34"/>
      <c r="P117" s="397"/>
      <c r="Q117" s="158"/>
    </row>
    <row r="118" spans="1:18" s="1" customFormat="1" ht="20.100000000000001" customHeight="1" x14ac:dyDescent="0.3">
      <c r="A118" s="63" t="s">
        <v>343</v>
      </c>
      <c r="B118" s="59"/>
      <c r="C118" s="60"/>
      <c r="D118" s="60"/>
      <c r="E118" s="61"/>
      <c r="F118" s="59"/>
      <c r="G118" s="59"/>
      <c r="H118" s="62"/>
      <c r="I118" s="62"/>
      <c r="J118" s="62"/>
      <c r="K118" s="62"/>
      <c r="L118" s="62"/>
      <c r="M118" s="62"/>
      <c r="N118" s="62"/>
      <c r="O118" s="62"/>
      <c r="P118" s="923"/>
      <c r="Q118" s="158"/>
    </row>
    <row r="119" spans="1:18" s="1" customFormat="1" ht="15.6" x14ac:dyDescent="0.3">
      <c r="A119" s="14" t="s">
        <v>158</v>
      </c>
      <c r="B119" s="2"/>
      <c r="C119" s="36"/>
      <c r="D119" s="36"/>
      <c r="E119" s="48"/>
      <c r="F119" s="2"/>
      <c r="G119" s="2"/>
      <c r="H119" s="15"/>
      <c r="I119" s="15"/>
      <c r="J119" s="15"/>
      <c r="K119" s="15"/>
      <c r="L119" s="15"/>
      <c r="M119" s="15"/>
      <c r="N119" s="15"/>
      <c r="O119" s="15"/>
      <c r="P119" s="924"/>
      <c r="Q119" s="158"/>
    </row>
    <row r="120" spans="1:18" s="7" customFormat="1" x14ac:dyDescent="0.3">
      <c r="A120" s="25"/>
      <c r="C120" s="40"/>
      <c r="D120" s="40"/>
      <c r="E120" s="53"/>
      <c r="G120" s="75" t="s">
        <v>369</v>
      </c>
      <c r="H120" s="31">
        <f>'BUDGET DETAIL'!S289</f>
        <v>127320.06999999999</v>
      </c>
      <c r="I120" s="31">
        <f>'BUDGET DETAIL'!AF289</f>
        <v>128150</v>
      </c>
      <c r="J120" s="31">
        <f>'BUDGET DETAIL'!AS289</f>
        <v>240963.37</v>
      </c>
      <c r="K120" s="31">
        <f>'BUDGET DETAIL'!BF289</f>
        <v>242550</v>
      </c>
      <c r="L120" s="31">
        <f>'BUDGET DETAIL'!BR289</f>
        <v>249150</v>
      </c>
      <c r="M120" s="31">
        <f>'BUDGET DETAIL'!BW289</f>
        <v>247150</v>
      </c>
      <c r="N120" s="31">
        <f>'BUDGET DETAIL'!BZ289</f>
        <v>247150</v>
      </c>
      <c r="O120" s="31">
        <f>'BUDGET DETAIL'!CA289</f>
        <v>247150</v>
      </c>
      <c r="P120" s="397">
        <f>(O120-L120)/L120</f>
        <v>-8.027292795504716E-3</v>
      </c>
      <c r="Q120" s="160"/>
    </row>
    <row r="121" spans="1:18" s="7" customFormat="1" x14ac:dyDescent="0.3">
      <c r="A121" s="25"/>
      <c r="C121" s="40"/>
      <c r="D121" s="40"/>
      <c r="E121" s="53"/>
      <c r="G121" s="75" t="s">
        <v>11</v>
      </c>
      <c r="H121" s="31">
        <f>'BUDGET DETAIL'!S311</f>
        <v>1236218.8900000001</v>
      </c>
      <c r="I121" s="31">
        <f>'BUDGET DETAIL'!AF311</f>
        <v>1310978.2200000002</v>
      </c>
      <c r="J121" s="31">
        <f>'BUDGET DETAIL'!AS311</f>
        <v>1095902.5200000003</v>
      </c>
      <c r="K121" s="31">
        <f>'BUDGET DETAIL'!BF311</f>
        <v>1069724.67</v>
      </c>
      <c r="L121" s="31">
        <f>'BUDGET DETAIL'!BR311</f>
        <v>1311020</v>
      </c>
      <c r="M121" s="31">
        <f>'BUDGET DETAIL'!BW311</f>
        <v>1300477</v>
      </c>
      <c r="N121" s="31">
        <f>'BUDGET DETAIL'!BZ311</f>
        <v>1300477</v>
      </c>
      <c r="O121" s="31">
        <f>'BUDGET DETAIL'!CA311</f>
        <v>1297492</v>
      </c>
      <c r="P121" s="397">
        <f>(O121-L121)/L121</f>
        <v>-1.0318683162728257E-2</v>
      </c>
      <c r="Q121" s="160"/>
    </row>
    <row r="122" spans="1:18" s="97" customFormat="1" x14ac:dyDescent="0.3">
      <c r="A122" s="94"/>
      <c r="B122" s="76"/>
      <c r="C122" s="95"/>
      <c r="D122" s="95"/>
      <c r="E122" s="96"/>
      <c r="F122" s="76"/>
      <c r="G122" s="76" t="s">
        <v>161</v>
      </c>
      <c r="H122" s="77">
        <f t="shared" ref="H122:O122" si="31">H120+H121</f>
        <v>1363538.9600000002</v>
      </c>
      <c r="I122" s="77">
        <f t="shared" si="31"/>
        <v>1439128.2200000002</v>
      </c>
      <c r="J122" s="77">
        <f t="shared" si="31"/>
        <v>1336865.8900000001</v>
      </c>
      <c r="K122" s="77">
        <f t="shared" si="31"/>
        <v>1312274.67</v>
      </c>
      <c r="L122" s="77">
        <f t="shared" si="31"/>
        <v>1560170</v>
      </c>
      <c r="M122" s="77">
        <f t="shared" si="31"/>
        <v>1547627</v>
      </c>
      <c r="N122" s="77">
        <f t="shared" si="31"/>
        <v>1547627</v>
      </c>
      <c r="O122" s="77">
        <f t="shared" si="31"/>
        <v>1544642</v>
      </c>
      <c r="P122" s="925">
        <f>(O122-L122)/L122</f>
        <v>-9.9527615580353428E-3</v>
      </c>
      <c r="Q122" s="161"/>
    </row>
    <row r="123" spans="1:18" s="78" customFormat="1" x14ac:dyDescent="0.3">
      <c r="A123" s="98"/>
      <c r="C123" s="99"/>
      <c r="D123" s="99"/>
      <c r="E123" s="100"/>
      <c r="H123" s="79"/>
      <c r="I123" s="79"/>
      <c r="J123" s="79"/>
      <c r="K123" s="79"/>
      <c r="L123" s="79"/>
      <c r="M123" s="79"/>
      <c r="N123" s="79"/>
      <c r="O123" s="79"/>
      <c r="P123" s="928"/>
      <c r="Q123" s="162"/>
    </row>
    <row r="124" spans="1:18" s="97" customFormat="1" x14ac:dyDescent="0.3">
      <c r="A124" s="94"/>
      <c r="B124" s="76"/>
      <c r="C124" s="95"/>
      <c r="D124" s="95"/>
      <c r="E124" s="96"/>
      <c r="F124" s="76"/>
      <c r="G124" s="76" t="s">
        <v>162</v>
      </c>
      <c r="H124" s="77">
        <f>'BUDGET DETAIL'!S352</f>
        <v>149953.21000000002</v>
      </c>
      <c r="I124" s="77">
        <f>'BUDGET DETAIL'!AF352</f>
        <v>152930.63</v>
      </c>
      <c r="J124" s="77">
        <f>'BUDGET DETAIL'!AS352</f>
        <v>98598.87</v>
      </c>
      <c r="K124" s="77">
        <f>'BUDGET DETAIL'!BF352</f>
        <v>120712.4</v>
      </c>
      <c r="L124" s="77">
        <f>'BUDGET DETAIL'!BR352</f>
        <v>125488</v>
      </c>
      <c r="M124" s="77">
        <f>'BUDGET DETAIL'!BW352</f>
        <v>125488</v>
      </c>
      <c r="N124" s="77">
        <f>'BUDGET DETAIL'!BZ352</f>
        <v>125488</v>
      </c>
      <c r="O124" s="77">
        <f>'BUDGET DETAIL'!CA352</f>
        <v>122188</v>
      </c>
      <c r="P124" s="925">
        <f>(O124-L124)/L124</f>
        <v>-2.6297335203366058E-2</v>
      </c>
      <c r="Q124" s="161"/>
    </row>
    <row r="125" spans="1:18" s="7" customFormat="1" ht="9.9" customHeight="1" x14ac:dyDescent="0.3">
      <c r="A125" s="23"/>
      <c r="C125" s="40"/>
      <c r="D125" s="40"/>
      <c r="E125" s="53"/>
      <c r="H125" s="31"/>
      <c r="I125" s="31"/>
      <c r="J125" s="31"/>
      <c r="K125" s="31"/>
      <c r="L125" s="31"/>
      <c r="M125" s="31"/>
      <c r="N125" s="31"/>
      <c r="O125" s="31"/>
      <c r="P125" s="929"/>
      <c r="Q125" s="160"/>
    </row>
    <row r="126" spans="1:18" s="6" customFormat="1" x14ac:dyDescent="0.3">
      <c r="A126" s="101"/>
      <c r="B126" s="102"/>
      <c r="C126" s="103"/>
      <c r="D126" s="103"/>
      <c r="E126" s="104"/>
      <c r="F126" s="102"/>
      <c r="G126" s="80" t="s">
        <v>163</v>
      </c>
      <c r="H126" s="81">
        <f t="shared" ref="H126:O126" si="32">H122+H124</f>
        <v>1513492.1700000002</v>
      </c>
      <c r="I126" s="81">
        <f t="shared" si="32"/>
        <v>1592058.85</v>
      </c>
      <c r="J126" s="81">
        <f t="shared" si="32"/>
        <v>1435464.7600000002</v>
      </c>
      <c r="K126" s="81">
        <f t="shared" si="32"/>
        <v>1432987.0699999998</v>
      </c>
      <c r="L126" s="81">
        <f t="shared" si="32"/>
        <v>1685658</v>
      </c>
      <c r="M126" s="81">
        <f t="shared" si="32"/>
        <v>1673115</v>
      </c>
      <c r="N126" s="81">
        <f t="shared" si="32"/>
        <v>1673115</v>
      </c>
      <c r="O126" s="81">
        <f t="shared" si="32"/>
        <v>1666830</v>
      </c>
      <c r="P126" s="926">
        <f>(O126-L126)/L126</f>
        <v>-1.1169525490935884E-2</v>
      </c>
      <c r="Q126" s="163"/>
    </row>
    <row r="127" spans="1:18" ht="24" customHeight="1" x14ac:dyDescent="0.3">
      <c r="A127" s="12"/>
      <c r="B127" s="1"/>
      <c r="C127" s="35"/>
      <c r="D127" s="35"/>
    </row>
    <row r="128" spans="1:18" s="6" customFormat="1" ht="15.6" x14ac:dyDescent="0.3">
      <c r="A128" s="105" t="s">
        <v>159</v>
      </c>
      <c r="B128" s="82"/>
      <c r="C128" s="106"/>
      <c r="D128" s="106"/>
      <c r="E128" s="107"/>
      <c r="F128" s="82"/>
      <c r="G128" s="82"/>
      <c r="H128" s="83"/>
      <c r="I128" s="83"/>
      <c r="J128" s="83"/>
      <c r="K128" s="83"/>
      <c r="L128" s="83"/>
      <c r="M128" s="83"/>
      <c r="N128" s="83"/>
      <c r="O128" s="83"/>
      <c r="P128" s="930"/>
      <c r="Q128" s="160"/>
    </row>
    <row r="129" spans="1:17" s="7" customFormat="1" x14ac:dyDescent="0.3">
      <c r="A129" s="25"/>
      <c r="C129" s="40"/>
      <c r="D129" s="40"/>
      <c r="E129" s="53"/>
      <c r="G129" s="75" t="s">
        <v>369</v>
      </c>
      <c r="H129" s="31">
        <f>'BUDGET DETAIL'!S359</f>
        <v>99678.46</v>
      </c>
      <c r="I129" s="31">
        <f>'BUDGET DETAIL'!AF359</f>
        <v>120363.28</v>
      </c>
      <c r="J129" s="31">
        <f>'BUDGET DETAIL'!AS359</f>
        <v>122766.34</v>
      </c>
      <c r="K129" s="31">
        <f>'BUDGET DETAIL'!BF359</f>
        <v>125224</v>
      </c>
      <c r="L129" s="31">
        <f>'BUDGET DETAIL'!BR359</f>
        <v>127755</v>
      </c>
      <c r="M129" s="31">
        <f>'BUDGET DETAIL'!BW359</f>
        <v>130305</v>
      </c>
      <c r="N129" s="31">
        <f>'BUDGET DETAIL'!BZ359</f>
        <v>130305</v>
      </c>
      <c r="O129" s="31">
        <f>'BUDGET DETAIL'!CA359</f>
        <v>130305</v>
      </c>
      <c r="P129" s="397">
        <f>(O129-L129)/L129</f>
        <v>1.9960079840319361E-2</v>
      </c>
      <c r="Q129" s="160"/>
    </row>
    <row r="130" spans="1:17" s="7" customFormat="1" x14ac:dyDescent="0.3">
      <c r="A130" s="25"/>
      <c r="C130" s="40"/>
      <c r="D130" s="40"/>
      <c r="E130" s="53"/>
      <c r="G130" s="75" t="s">
        <v>11</v>
      </c>
      <c r="H130" s="31">
        <f>'BUDGET DETAIL'!S373</f>
        <v>486814.29</v>
      </c>
      <c r="I130" s="31">
        <f>'BUDGET DETAIL'!AF373</f>
        <v>509746.22</v>
      </c>
      <c r="J130" s="31">
        <f>'BUDGET DETAIL'!AS373</f>
        <v>625892.45000000007</v>
      </c>
      <c r="K130" s="31">
        <f>'BUDGET DETAIL'!BF373</f>
        <v>755100.34000000008</v>
      </c>
      <c r="L130" s="31">
        <f>'BUDGET DETAIL'!BR373</f>
        <v>773679</v>
      </c>
      <c r="M130" s="31">
        <f>'BUDGET DETAIL'!BW373</f>
        <v>796642</v>
      </c>
      <c r="N130" s="31">
        <f>'BUDGET DETAIL'!BZ373</f>
        <v>796642</v>
      </c>
      <c r="O130" s="31">
        <f>'BUDGET DETAIL'!CA373</f>
        <v>919989</v>
      </c>
      <c r="P130" s="397">
        <f>(O130-L130)/L130</f>
        <v>0.18910943685947273</v>
      </c>
      <c r="Q130" s="160"/>
    </row>
    <row r="131" spans="1:17" s="97" customFormat="1" x14ac:dyDescent="0.3">
      <c r="A131" s="94"/>
      <c r="B131" s="76"/>
      <c r="C131" s="95"/>
      <c r="D131" s="95"/>
      <c r="E131" s="96"/>
      <c r="F131" s="76"/>
      <c r="G131" s="76" t="s">
        <v>164</v>
      </c>
      <c r="H131" s="77">
        <f t="shared" ref="H131:O131" si="33">H129+H130</f>
        <v>586492.75</v>
      </c>
      <c r="I131" s="77">
        <f t="shared" si="33"/>
        <v>630109.5</v>
      </c>
      <c r="J131" s="77">
        <f t="shared" si="33"/>
        <v>748658.79</v>
      </c>
      <c r="K131" s="77">
        <f t="shared" si="33"/>
        <v>880324.34000000008</v>
      </c>
      <c r="L131" s="77">
        <f t="shared" si="33"/>
        <v>901434</v>
      </c>
      <c r="M131" s="77">
        <f t="shared" si="33"/>
        <v>926947</v>
      </c>
      <c r="N131" s="77">
        <f t="shared" si="33"/>
        <v>926947</v>
      </c>
      <c r="O131" s="77">
        <f t="shared" si="33"/>
        <v>1050294</v>
      </c>
      <c r="P131" s="925">
        <f>(O131-L131)/L131</f>
        <v>0.16513688190150361</v>
      </c>
      <c r="Q131" s="161"/>
    </row>
    <row r="132" spans="1:17" s="78" customFormat="1" x14ac:dyDescent="0.3">
      <c r="A132" s="98"/>
      <c r="C132" s="99"/>
      <c r="D132" s="99"/>
      <c r="E132" s="100"/>
      <c r="H132" s="79"/>
      <c r="I132" s="79"/>
      <c r="J132" s="79"/>
      <c r="K132" s="79"/>
      <c r="L132" s="79"/>
      <c r="M132" s="79"/>
      <c r="N132" s="79"/>
      <c r="O132" s="79"/>
      <c r="P132" s="928"/>
      <c r="Q132" s="162"/>
    </row>
    <row r="133" spans="1:17" s="97" customFormat="1" x14ac:dyDescent="0.3">
      <c r="A133" s="94"/>
      <c r="B133" s="76"/>
      <c r="C133" s="95"/>
      <c r="D133" s="95"/>
      <c r="E133" s="96"/>
      <c r="F133" s="76"/>
      <c r="G133" s="76" t="s">
        <v>165</v>
      </c>
      <c r="H133" s="77">
        <f>'BUDGET DETAIL'!S414</f>
        <v>110768.49999999999</v>
      </c>
      <c r="I133" s="77">
        <f>'BUDGET DETAIL'!AF414</f>
        <v>153433.96999999997</v>
      </c>
      <c r="J133" s="77">
        <f>'BUDGET DETAIL'!AS414</f>
        <v>108484.21000000002</v>
      </c>
      <c r="K133" s="77">
        <f>'BUDGET DETAIL'!BF414</f>
        <v>119775.90000000001</v>
      </c>
      <c r="L133" s="77">
        <f>'BUDGET DETAIL'!BR414</f>
        <v>142183</v>
      </c>
      <c r="M133" s="77">
        <f>'BUDGET DETAIL'!BW414</f>
        <v>142183</v>
      </c>
      <c r="N133" s="77">
        <f>'BUDGET DETAIL'!BZ414</f>
        <v>142183</v>
      </c>
      <c r="O133" s="77">
        <f>'BUDGET DETAIL'!CA414</f>
        <v>156283</v>
      </c>
      <c r="P133" s="925">
        <f>(O133-L133)/L133</f>
        <v>9.9167973667738052E-2</v>
      </c>
      <c r="Q133" s="161"/>
    </row>
    <row r="134" spans="1:17" s="7" customFormat="1" ht="9.9" customHeight="1" x14ac:dyDescent="0.3">
      <c r="A134" s="23"/>
      <c r="C134" s="40"/>
      <c r="D134" s="40"/>
      <c r="E134" s="53"/>
      <c r="H134" s="31"/>
      <c r="I134" s="31"/>
      <c r="J134" s="31"/>
      <c r="K134" s="31"/>
      <c r="L134" s="31"/>
      <c r="M134" s="31"/>
      <c r="N134" s="31"/>
      <c r="O134" s="31"/>
      <c r="P134" s="929"/>
      <c r="Q134" s="160"/>
    </row>
    <row r="135" spans="1:17" s="6" customFormat="1" x14ac:dyDescent="0.3">
      <c r="A135" s="101"/>
      <c r="B135" s="102"/>
      <c r="C135" s="103"/>
      <c r="D135" s="103"/>
      <c r="E135" s="104"/>
      <c r="F135" s="102"/>
      <c r="G135" s="80" t="s">
        <v>166</v>
      </c>
      <c r="H135" s="81">
        <f t="shared" ref="H135:O135" si="34">H131+H133</f>
        <v>697261.25</v>
      </c>
      <c r="I135" s="81">
        <f t="shared" si="34"/>
        <v>783543.47</v>
      </c>
      <c r="J135" s="81">
        <f t="shared" si="34"/>
        <v>857143</v>
      </c>
      <c r="K135" s="81">
        <f t="shared" si="34"/>
        <v>1000100.2400000001</v>
      </c>
      <c r="L135" s="81">
        <f t="shared" si="34"/>
        <v>1043617</v>
      </c>
      <c r="M135" s="81">
        <f t="shared" si="34"/>
        <v>1069130</v>
      </c>
      <c r="N135" s="81">
        <f t="shared" si="34"/>
        <v>1069130</v>
      </c>
      <c r="O135" s="81">
        <f t="shared" si="34"/>
        <v>1206577</v>
      </c>
      <c r="P135" s="926">
        <f>(O135-L135)/L135</f>
        <v>0.15614923865747685</v>
      </c>
      <c r="Q135" s="163"/>
    </row>
    <row r="136" spans="1:17" ht="24" customHeight="1" x14ac:dyDescent="0.3">
      <c r="A136" s="12"/>
      <c r="B136" s="1"/>
      <c r="C136" s="35"/>
      <c r="D136" s="35"/>
    </row>
    <row r="137" spans="1:17" s="6" customFormat="1" ht="15.6" x14ac:dyDescent="0.3">
      <c r="A137" s="105" t="s">
        <v>976</v>
      </c>
      <c r="B137" s="82"/>
      <c r="C137" s="106"/>
      <c r="D137" s="106"/>
      <c r="E137" s="107"/>
      <c r="F137" s="82"/>
      <c r="G137" s="82"/>
      <c r="H137" s="83"/>
      <c r="I137" s="83"/>
      <c r="J137" s="83"/>
      <c r="K137" s="83"/>
      <c r="L137" s="83"/>
      <c r="M137" s="83"/>
      <c r="N137" s="83"/>
      <c r="O137" s="83"/>
      <c r="P137" s="930"/>
      <c r="Q137" s="163"/>
    </row>
    <row r="138" spans="1:17" s="7" customFormat="1" x14ac:dyDescent="0.3">
      <c r="A138" s="25"/>
      <c r="C138" s="40"/>
      <c r="D138" s="40"/>
      <c r="E138" s="53"/>
      <c r="G138" s="75" t="s">
        <v>369</v>
      </c>
      <c r="H138" s="31">
        <f>'BUDGET DETAIL'!S425</f>
        <v>105191.17</v>
      </c>
      <c r="I138" s="31">
        <f>'BUDGET DETAIL'!AF425</f>
        <v>110032.99999999999</v>
      </c>
      <c r="J138" s="31">
        <f>'BUDGET DETAIL'!AS425</f>
        <v>99795.88</v>
      </c>
      <c r="K138" s="31">
        <f>'BUDGET DETAIL'!BF425</f>
        <v>85368.46</v>
      </c>
      <c r="L138" s="31">
        <f>'BUDGET DETAIL'!BR425</f>
        <v>110841</v>
      </c>
      <c r="M138" s="31">
        <f>'BUDGET DETAIL'!BW425</f>
        <v>116200</v>
      </c>
      <c r="N138" s="31">
        <f>'BUDGET DETAIL'!BZ425</f>
        <v>116200</v>
      </c>
      <c r="O138" s="31">
        <f>'BUDGET DETAIL'!CA425</f>
        <v>121150</v>
      </c>
      <c r="P138" s="397">
        <f>(O138-L138)/L138</f>
        <v>9.3007100260733847E-2</v>
      </c>
      <c r="Q138" s="160"/>
    </row>
    <row r="139" spans="1:17" s="7" customFormat="1" x14ac:dyDescent="0.3">
      <c r="A139" s="25"/>
      <c r="C139" s="40"/>
      <c r="D139" s="40"/>
      <c r="E139" s="53"/>
      <c r="G139" s="75" t="s">
        <v>11</v>
      </c>
      <c r="H139" s="31">
        <f>'BUDGET DETAIL'!S430</f>
        <v>33096.639999999999</v>
      </c>
      <c r="I139" s="31">
        <f>'BUDGET DETAIL'!AF430</f>
        <v>30885.040000000001</v>
      </c>
      <c r="J139" s="31">
        <f>'BUDGET DETAIL'!AS430</f>
        <v>37938.559999999998</v>
      </c>
      <c r="K139" s="31">
        <f>'BUDGET DETAIL'!BF430</f>
        <v>36870.870000000003</v>
      </c>
      <c r="L139" s="31">
        <f>'BUDGET DETAIL'!BR430</f>
        <v>34947</v>
      </c>
      <c r="M139" s="31">
        <f>'BUDGET DETAIL'!BW430</f>
        <v>35176</v>
      </c>
      <c r="N139" s="31">
        <f>'BUDGET DETAIL'!BZ430</f>
        <v>35176</v>
      </c>
      <c r="O139" s="31">
        <f>'BUDGET DETAIL'!CA430</f>
        <v>36897</v>
      </c>
      <c r="P139" s="397">
        <f>(O139-L139)/L139</f>
        <v>5.57987810112456E-2</v>
      </c>
      <c r="Q139" s="160"/>
    </row>
    <row r="140" spans="1:17" s="97" customFormat="1" x14ac:dyDescent="0.3">
      <c r="A140" s="94"/>
      <c r="B140" s="76"/>
      <c r="C140" s="95"/>
      <c r="D140" s="95"/>
      <c r="E140" s="96"/>
      <c r="F140" s="76"/>
      <c r="G140" s="108" t="s">
        <v>173</v>
      </c>
      <c r="H140" s="77">
        <f t="shared" ref="H140:O140" si="35">H138+H139</f>
        <v>138287.81</v>
      </c>
      <c r="I140" s="77">
        <f t="shared" si="35"/>
        <v>140918.03999999998</v>
      </c>
      <c r="J140" s="77">
        <f t="shared" si="35"/>
        <v>137734.44</v>
      </c>
      <c r="K140" s="77">
        <f t="shared" si="35"/>
        <v>122239.33000000002</v>
      </c>
      <c r="L140" s="77">
        <f t="shared" si="35"/>
        <v>145788</v>
      </c>
      <c r="M140" s="77">
        <f t="shared" si="35"/>
        <v>151376</v>
      </c>
      <c r="N140" s="77">
        <f t="shared" si="35"/>
        <v>151376</v>
      </c>
      <c r="O140" s="77">
        <f t="shared" si="35"/>
        <v>158047</v>
      </c>
      <c r="P140" s="925">
        <f>(O140-L140)/L140</f>
        <v>8.408785359563202E-2</v>
      </c>
      <c r="Q140" s="161"/>
    </row>
    <row r="141" spans="1:17" s="7" customFormat="1" x14ac:dyDescent="0.3">
      <c r="A141" s="23"/>
      <c r="C141" s="40"/>
      <c r="D141" s="40"/>
      <c r="E141" s="53"/>
      <c r="H141" s="31"/>
      <c r="I141" s="31"/>
      <c r="J141" s="31"/>
      <c r="K141" s="31"/>
      <c r="L141" s="31"/>
      <c r="M141" s="31"/>
      <c r="N141" s="31"/>
      <c r="O141" s="31"/>
      <c r="P141" s="929"/>
      <c r="Q141" s="160"/>
    </row>
    <row r="142" spans="1:17" s="97" customFormat="1" x14ac:dyDescent="0.3">
      <c r="A142" s="94"/>
      <c r="B142" s="76"/>
      <c r="C142" s="95"/>
      <c r="D142" s="95"/>
      <c r="E142" s="96"/>
      <c r="F142" s="76"/>
      <c r="G142" s="76" t="s">
        <v>175</v>
      </c>
      <c r="H142" s="77">
        <f>'BUDGET DETAIL'!S443</f>
        <v>2781.02</v>
      </c>
      <c r="I142" s="77">
        <f>'BUDGET DETAIL'!AF443</f>
        <v>8292.2999999999993</v>
      </c>
      <c r="J142" s="77">
        <f>'BUDGET DETAIL'!AS443</f>
        <v>9322.33</v>
      </c>
      <c r="K142" s="77">
        <f>'BUDGET DETAIL'!BF443</f>
        <v>11344.79</v>
      </c>
      <c r="L142" s="77">
        <f>'BUDGET DETAIL'!BR443</f>
        <v>13465</v>
      </c>
      <c r="M142" s="77">
        <f>'BUDGET DETAIL'!BW443</f>
        <v>13465</v>
      </c>
      <c r="N142" s="77">
        <f>'BUDGET DETAIL'!BZ443</f>
        <v>13465</v>
      </c>
      <c r="O142" s="77">
        <f>'BUDGET DETAIL'!CA443</f>
        <v>13465</v>
      </c>
      <c r="P142" s="925">
        <f>(O142-L142)/L142</f>
        <v>0</v>
      </c>
      <c r="Q142" s="161"/>
    </row>
    <row r="143" spans="1:17" ht="9.9" customHeight="1" x14ac:dyDescent="0.3"/>
    <row r="144" spans="1:17" s="1" customFormat="1" x14ac:dyDescent="0.3">
      <c r="A144" s="20"/>
      <c r="B144" s="5"/>
      <c r="C144" s="39"/>
      <c r="D144" s="39"/>
      <c r="E144" s="51"/>
      <c r="F144" s="5"/>
      <c r="G144" s="21" t="s">
        <v>975</v>
      </c>
      <c r="H144" s="22">
        <f t="shared" ref="H144:O144" si="36">H140+H142</f>
        <v>141068.82999999999</v>
      </c>
      <c r="I144" s="22">
        <f t="shared" si="36"/>
        <v>149210.33999999997</v>
      </c>
      <c r="J144" s="22">
        <f t="shared" si="36"/>
        <v>147056.76999999999</v>
      </c>
      <c r="K144" s="22">
        <f t="shared" si="36"/>
        <v>133584.12000000002</v>
      </c>
      <c r="L144" s="22">
        <f t="shared" si="36"/>
        <v>159253</v>
      </c>
      <c r="M144" s="22">
        <f t="shared" si="36"/>
        <v>164841</v>
      </c>
      <c r="N144" s="22">
        <f t="shared" si="36"/>
        <v>164841</v>
      </c>
      <c r="O144" s="22">
        <f t="shared" si="36"/>
        <v>171512</v>
      </c>
      <c r="P144" s="926">
        <f>(O144-L144)/L144</f>
        <v>7.6978141699057478E-2</v>
      </c>
      <c r="Q144" s="158"/>
    </row>
    <row r="145" spans="1:17" ht="24" customHeight="1" x14ac:dyDescent="0.3">
      <c r="A145" s="12"/>
      <c r="B145" s="1"/>
      <c r="C145" s="35"/>
      <c r="D145" s="35"/>
    </row>
    <row r="146" spans="1:17" s="1" customFormat="1" ht="15.6" x14ac:dyDescent="0.3">
      <c r="A146" s="14" t="s">
        <v>167</v>
      </c>
      <c r="B146" s="2"/>
      <c r="C146" s="36"/>
      <c r="D146" s="36"/>
      <c r="E146" s="48"/>
      <c r="F146" s="2"/>
      <c r="G146" s="2"/>
      <c r="H146" s="15"/>
      <c r="I146" s="15"/>
      <c r="J146" s="15"/>
      <c r="K146" s="15"/>
      <c r="L146" s="15"/>
      <c r="M146" s="15"/>
      <c r="N146" s="15"/>
      <c r="O146" s="15"/>
      <c r="P146" s="924"/>
      <c r="Q146" s="158"/>
    </row>
    <row r="147" spans="1:17" x14ac:dyDescent="0.3">
      <c r="F147" s="3" t="s">
        <v>2</v>
      </c>
      <c r="G147" s="75" t="s">
        <v>11</v>
      </c>
      <c r="H147" s="16">
        <f>'BUDGET DETAIL'!S449</f>
        <v>1692</v>
      </c>
      <c r="I147" s="16">
        <f>'BUDGET DETAIL'!AF449</f>
        <v>1692</v>
      </c>
      <c r="J147" s="16">
        <f>'BUDGET DETAIL'!AS449</f>
        <v>1726</v>
      </c>
      <c r="K147" s="16">
        <f>'BUDGET DETAIL'!BF449</f>
        <v>1726</v>
      </c>
      <c r="L147" s="16">
        <f>'BUDGET DETAIL'!BR449</f>
        <v>1726</v>
      </c>
      <c r="M147" s="16">
        <f>'BUDGET DETAIL'!BW449</f>
        <v>1726</v>
      </c>
      <c r="N147" s="16">
        <f>'BUDGET DETAIL'!BZ449</f>
        <v>1726</v>
      </c>
      <c r="O147" s="16">
        <f>'BUDGET DETAIL'!CA449</f>
        <v>1726</v>
      </c>
      <c r="P147" s="397">
        <f>(O147-L147)/L147</f>
        <v>0</v>
      </c>
    </row>
    <row r="148" spans="1:17" s="19" customFormat="1" x14ac:dyDescent="0.3">
      <c r="A148" s="27"/>
      <c r="B148" s="8"/>
      <c r="C148" s="42"/>
      <c r="D148" s="42"/>
      <c r="E148" s="54"/>
      <c r="F148" s="8"/>
      <c r="G148" s="56" t="s">
        <v>168</v>
      </c>
      <c r="H148" s="28">
        <f t="shared" ref="H148:O148" si="37">SUM(H147)</f>
        <v>1692</v>
      </c>
      <c r="I148" s="28">
        <f t="shared" si="37"/>
        <v>1692</v>
      </c>
      <c r="J148" s="28">
        <f t="shared" si="37"/>
        <v>1726</v>
      </c>
      <c r="K148" s="28">
        <f t="shared" si="37"/>
        <v>1726</v>
      </c>
      <c r="L148" s="28">
        <f t="shared" si="37"/>
        <v>1726</v>
      </c>
      <c r="M148" s="28">
        <f t="shared" si="37"/>
        <v>1726</v>
      </c>
      <c r="N148" s="28">
        <f t="shared" si="37"/>
        <v>1726</v>
      </c>
      <c r="O148" s="28">
        <f t="shared" si="37"/>
        <v>1726</v>
      </c>
      <c r="P148" s="925">
        <f>(O148-L148)/L148</f>
        <v>0</v>
      </c>
      <c r="Q148" s="159"/>
    </row>
    <row r="149" spans="1:17" ht="9.9" customHeight="1" x14ac:dyDescent="0.3"/>
    <row r="150" spans="1:17" s="1" customFormat="1" x14ac:dyDescent="0.3">
      <c r="A150" s="20"/>
      <c r="B150" s="5"/>
      <c r="C150" s="39"/>
      <c r="D150" s="39"/>
      <c r="E150" s="51"/>
      <c r="F150" s="5"/>
      <c r="G150" s="21" t="s">
        <v>169</v>
      </c>
      <c r="H150" s="22">
        <f t="shared" ref="H150:O150" si="38">H148</f>
        <v>1692</v>
      </c>
      <c r="I150" s="22">
        <f t="shared" si="38"/>
        <v>1692</v>
      </c>
      <c r="J150" s="22">
        <f t="shared" si="38"/>
        <v>1726</v>
      </c>
      <c r="K150" s="22">
        <f t="shared" si="38"/>
        <v>1726</v>
      </c>
      <c r="L150" s="22">
        <f t="shared" si="38"/>
        <v>1726</v>
      </c>
      <c r="M150" s="22">
        <f t="shared" si="38"/>
        <v>1726</v>
      </c>
      <c r="N150" s="22">
        <f t="shared" si="38"/>
        <v>1726</v>
      </c>
      <c r="O150" s="22">
        <f t="shared" si="38"/>
        <v>1726</v>
      </c>
      <c r="P150" s="926">
        <f>(O150-L150)/L150</f>
        <v>0</v>
      </c>
      <c r="Q150" s="158"/>
    </row>
    <row r="151" spans="1:17" ht="24" customHeight="1" x14ac:dyDescent="0.3">
      <c r="A151" s="12"/>
      <c r="B151" s="1"/>
      <c r="C151" s="35"/>
      <c r="D151" s="35"/>
    </row>
    <row r="152" spans="1:17" s="1" customFormat="1" ht="15.6" x14ac:dyDescent="0.3">
      <c r="A152" s="14" t="s">
        <v>171</v>
      </c>
      <c r="B152" s="2"/>
      <c r="C152" s="36"/>
      <c r="D152" s="36"/>
      <c r="E152" s="48"/>
      <c r="F152" s="2"/>
      <c r="G152" s="2"/>
      <c r="H152" s="15"/>
      <c r="I152" s="15"/>
      <c r="J152" s="15"/>
      <c r="K152" s="15"/>
      <c r="L152" s="15"/>
      <c r="M152" s="15"/>
      <c r="N152" s="15"/>
      <c r="O152" s="15"/>
      <c r="P152" s="924"/>
      <c r="Q152" s="158"/>
    </row>
    <row r="153" spans="1:17" x14ac:dyDescent="0.3">
      <c r="F153" s="3" t="s">
        <v>2</v>
      </c>
      <c r="G153" s="75" t="s">
        <v>11</v>
      </c>
      <c r="H153" s="16">
        <f>'BUDGET DETAIL'!S455</f>
        <v>10028</v>
      </c>
      <c r="I153" s="16">
        <f>'BUDGET DETAIL'!AF455</f>
        <v>10028</v>
      </c>
      <c r="J153" s="16">
        <f>'BUDGET DETAIL'!AS455</f>
        <v>10228.92</v>
      </c>
      <c r="K153" s="16">
        <f>'BUDGET DETAIL'!BF455</f>
        <v>10229</v>
      </c>
      <c r="L153" s="16">
        <f>'BUDGET DETAIL'!BR455</f>
        <v>10229</v>
      </c>
      <c r="M153" s="16">
        <f>'BUDGET DETAIL'!BW455</f>
        <v>10229</v>
      </c>
      <c r="N153" s="16">
        <f>'BUDGET DETAIL'!BZ455</f>
        <v>10229</v>
      </c>
      <c r="O153" s="16">
        <f>'BUDGET DETAIL'!CA455</f>
        <v>10229</v>
      </c>
      <c r="P153" s="397">
        <f>(O153-L153)/L153</f>
        <v>0</v>
      </c>
    </row>
    <row r="154" spans="1:17" s="19" customFormat="1" x14ac:dyDescent="0.3">
      <c r="A154" s="27"/>
      <c r="B154" s="8"/>
      <c r="C154" s="42"/>
      <c r="D154" s="42"/>
      <c r="E154" s="54"/>
      <c r="F154" s="8"/>
      <c r="G154" s="56" t="s">
        <v>170</v>
      </c>
      <c r="H154" s="28">
        <f t="shared" ref="H154:O154" si="39">SUM(H153)</f>
        <v>10028</v>
      </c>
      <c r="I154" s="28">
        <f t="shared" si="39"/>
        <v>10028</v>
      </c>
      <c r="J154" s="28">
        <f t="shared" si="39"/>
        <v>10228.92</v>
      </c>
      <c r="K154" s="28">
        <f t="shared" si="39"/>
        <v>10229</v>
      </c>
      <c r="L154" s="28">
        <f t="shared" si="39"/>
        <v>10229</v>
      </c>
      <c r="M154" s="28">
        <f t="shared" si="39"/>
        <v>10229</v>
      </c>
      <c r="N154" s="28">
        <f t="shared" si="39"/>
        <v>10229</v>
      </c>
      <c r="O154" s="28">
        <f t="shared" si="39"/>
        <v>10229</v>
      </c>
      <c r="P154" s="925">
        <f>(O154-L154)/L154</f>
        <v>0</v>
      </c>
      <c r="Q154" s="159"/>
    </row>
    <row r="156" spans="1:17" s="19" customFormat="1" x14ac:dyDescent="0.3">
      <c r="A156" s="27"/>
      <c r="B156" s="8"/>
      <c r="C156" s="42"/>
      <c r="D156" s="42"/>
      <c r="E156" s="54"/>
      <c r="F156" s="8"/>
      <c r="G156" s="57" t="s">
        <v>178</v>
      </c>
      <c r="H156" s="28">
        <f>'BUDGET DETAIL'!S458</f>
        <v>268.22000000000003</v>
      </c>
      <c r="I156" s="28">
        <f>'BUDGET DETAIL'!AF458</f>
        <v>0</v>
      </c>
      <c r="J156" s="28">
        <f>'BUDGET DETAIL'!AS458</f>
        <v>0</v>
      </c>
      <c r="K156" s="28">
        <f>'BUDGET DETAIL'!BF458</f>
        <v>378.71</v>
      </c>
      <c r="L156" s="28">
        <f>'BUDGET DETAIL'!BR458</f>
        <v>571</v>
      </c>
      <c r="M156" s="28">
        <f>'BUDGET DETAIL'!BW458</f>
        <v>571</v>
      </c>
      <c r="N156" s="28">
        <f>'BUDGET DETAIL'!BZ458</f>
        <v>571</v>
      </c>
      <c r="O156" s="28">
        <f>'BUDGET DETAIL'!CA458</f>
        <v>571</v>
      </c>
      <c r="P156" s="925">
        <f>(O156-L156)/L156</f>
        <v>0</v>
      </c>
      <c r="Q156" s="159"/>
    </row>
    <row r="157" spans="1:17" ht="9.9" customHeight="1" x14ac:dyDescent="0.3"/>
    <row r="158" spans="1:17" s="1" customFormat="1" x14ac:dyDescent="0.3">
      <c r="A158" s="20"/>
      <c r="B158" s="5"/>
      <c r="C158" s="39"/>
      <c r="D158" s="39"/>
      <c r="E158" s="51"/>
      <c r="F158" s="5"/>
      <c r="G158" s="21" t="s">
        <v>172</v>
      </c>
      <c r="H158" s="22">
        <f t="shared" ref="H158:O158" si="40">H154+H156</f>
        <v>10296.219999999999</v>
      </c>
      <c r="I158" s="22">
        <f t="shared" si="40"/>
        <v>10028</v>
      </c>
      <c r="J158" s="22">
        <f t="shared" si="40"/>
        <v>10228.92</v>
      </c>
      <c r="K158" s="22">
        <f t="shared" si="40"/>
        <v>10607.71</v>
      </c>
      <c r="L158" s="22">
        <f t="shared" si="40"/>
        <v>10800</v>
      </c>
      <c r="M158" s="22">
        <f t="shared" si="40"/>
        <v>10800</v>
      </c>
      <c r="N158" s="22">
        <f t="shared" si="40"/>
        <v>10800</v>
      </c>
      <c r="O158" s="22">
        <f t="shared" si="40"/>
        <v>10800</v>
      </c>
      <c r="P158" s="926">
        <f>(O158-L158)/L158</f>
        <v>0</v>
      </c>
      <c r="Q158" s="158"/>
    </row>
    <row r="159" spans="1:17" ht="24" customHeight="1" x14ac:dyDescent="0.3">
      <c r="A159" s="12"/>
      <c r="B159" s="1"/>
      <c r="C159" s="35"/>
      <c r="D159" s="35"/>
    </row>
    <row r="160" spans="1:17" s="1" customFormat="1" ht="15.6" x14ac:dyDescent="0.3">
      <c r="A160" s="14" t="s">
        <v>176</v>
      </c>
      <c r="B160" s="2"/>
      <c r="C160" s="36"/>
      <c r="D160" s="36"/>
      <c r="E160" s="48"/>
      <c r="F160" s="2"/>
      <c r="G160" s="2"/>
      <c r="H160" s="15"/>
      <c r="I160" s="15"/>
      <c r="J160" s="15"/>
      <c r="K160" s="15"/>
      <c r="L160" s="15"/>
      <c r="M160" s="15"/>
      <c r="N160" s="15"/>
      <c r="O160" s="15"/>
      <c r="P160" s="924"/>
      <c r="Q160" s="158"/>
    </row>
    <row r="161" spans="1:17" x14ac:dyDescent="0.3">
      <c r="F161" s="3" t="s">
        <v>2</v>
      </c>
      <c r="G161" s="75" t="s">
        <v>11</v>
      </c>
      <c r="H161" s="16">
        <f>'BUDGET DETAIL'!S463</f>
        <v>7598</v>
      </c>
      <c r="I161" s="16">
        <f>'BUDGET DETAIL'!AF463</f>
        <v>7598</v>
      </c>
      <c r="J161" s="16">
        <f>'BUDGET DETAIL'!AS463</f>
        <v>7749.96</v>
      </c>
      <c r="K161" s="16">
        <f>'BUDGET DETAIL'!BF463</f>
        <v>7750</v>
      </c>
      <c r="L161" s="16">
        <f>'BUDGET DETAIL'!BR463</f>
        <v>7750</v>
      </c>
      <c r="M161" s="16">
        <f>'BUDGET DETAIL'!BW463</f>
        <v>7750</v>
      </c>
      <c r="N161" s="16">
        <f>'BUDGET DETAIL'!BZ463</f>
        <v>7750</v>
      </c>
      <c r="O161" s="16">
        <f>'BUDGET DETAIL'!CA463</f>
        <v>7750</v>
      </c>
      <c r="P161" s="397">
        <f>(O161-L161)/L161</f>
        <v>0</v>
      </c>
    </row>
    <row r="162" spans="1:17" s="19" customFormat="1" x14ac:dyDescent="0.3">
      <c r="A162" s="27"/>
      <c r="B162" s="8"/>
      <c r="C162" s="42"/>
      <c r="D162" s="42"/>
      <c r="E162" s="54"/>
      <c r="F162" s="8"/>
      <c r="G162" s="57" t="s">
        <v>177</v>
      </c>
      <c r="H162" s="28">
        <f t="shared" ref="H162:O162" si="41">SUM(H161)</f>
        <v>7598</v>
      </c>
      <c r="I162" s="28">
        <f t="shared" si="41"/>
        <v>7598</v>
      </c>
      <c r="J162" s="28">
        <f t="shared" si="41"/>
        <v>7749.96</v>
      </c>
      <c r="K162" s="28">
        <f t="shared" si="41"/>
        <v>7750</v>
      </c>
      <c r="L162" s="28">
        <f t="shared" si="41"/>
        <v>7750</v>
      </c>
      <c r="M162" s="28">
        <f t="shared" si="41"/>
        <v>7750</v>
      </c>
      <c r="N162" s="28">
        <f t="shared" si="41"/>
        <v>7750</v>
      </c>
      <c r="O162" s="28">
        <f t="shared" si="41"/>
        <v>7750</v>
      </c>
      <c r="P162" s="925">
        <f>(O162-L162)/L162</f>
        <v>0</v>
      </c>
      <c r="Q162" s="159"/>
    </row>
    <row r="164" spans="1:17" s="19" customFormat="1" x14ac:dyDescent="0.3">
      <c r="A164" s="27"/>
      <c r="B164" s="8"/>
      <c r="C164" s="42"/>
      <c r="D164" s="42"/>
      <c r="E164" s="54"/>
      <c r="F164" s="8"/>
      <c r="G164" s="57" t="s">
        <v>179</v>
      </c>
      <c r="H164" s="28">
        <f>'BUDGET DETAIL'!S469</f>
        <v>0</v>
      </c>
      <c r="I164" s="28">
        <f>'BUDGET DETAIL'!AF469</f>
        <v>0</v>
      </c>
      <c r="J164" s="28">
        <f>'BUDGET DETAIL'!AS469</f>
        <v>0</v>
      </c>
      <c r="K164" s="28">
        <f>'BUDGET DETAIL'!BF469</f>
        <v>0</v>
      </c>
      <c r="L164" s="28">
        <f>'BUDGET DETAIL'!BR469</f>
        <v>1840</v>
      </c>
      <c r="M164" s="28">
        <f>'BUDGET DETAIL'!BW469</f>
        <v>1840</v>
      </c>
      <c r="N164" s="28">
        <f>'BUDGET DETAIL'!BZ469</f>
        <v>1840</v>
      </c>
      <c r="O164" s="28">
        <f>'BUDGET DETAIL'!CA469</f>
        <v>1840</v>
      </c>
      <c r="P164" s="925">
        <f>(O164-L164)/L164</f>
        <v>0</v>
      </c>
      <c r="Q164" s="159"/>
    </row>
    <row r="165" spans="1:17" ht="9.9" customHeight="1" x14ac:dyDescent="0.3"/>
    <row r="166" spans="1:17" s="1" customFormat="1" x14ac:dyDescent="0.3">
      <c r="A166" s="20"/>
      <c r="B166" s="5"/>
      <c r="C166" s="39"/>
      <c r="D166" s="39"/>
      <c r="E166" s="51"/>
      <c r="F166" s="5"/>
      <c r="G166" s="21" t="s">
        <v>180</v>
      </c>
      <c r="H166" s="22">
        <f t="shared" ref="H166:O166" si="42">H162+H164</f>
        <v>7598</v>
      </c>
      <c r="I166" s="22">
        <f t="shared" si="42"/>
        <v>7598</v>
      </c>
      <c r="J166" s="22">
        <f t="shared" si="42"/>
        <v>7749.96</v>
      </c>
      <c r="K166" s="22">
        <f t="shared" si="42"/>
        <v>7750</v>
      </c>
      <c r="L166" s="22">
        <f t="shared" si="42"/>
        <v>9590</v>
      </c>
      <c r="M166" s="22">
        <f t="shared" si="42"/>
        <v>9590</v>
      </c>
      <c r="N166" s="22">
        <f t="shared" si="42"/>
        <v>9590</v>
      </c>
      <c r="O166" s="22">
        <f t="shared" si="42"/>
        <v>9590</v>
      </c>
      <c r="P166" s="926">
        <f>(O166-L166)/L166</f>
        <v>0</v>
      </c>
      <c r="Q166" s="158"/>
    </row>
    <row r="167" spans="1:17" ht="24" customHeight="1" x14ac:dyDescent="0.3">
      <c r="A167" s="12"/>
      <c r="B167" s="1"/>
      <c r="C167" s="35"/>
      <c r="D167" s="35"/>
    </row>
    <row r="168" spans="1:17" s="1" customFormat="1" ht="15.6" x14ac:dyDescent="0.3">
      <c r="A168" s="14" t="s">
        <v>223</v>
      </c>
      <c r="B168" s="2"/>
      <c r="C168" s="36"/>
      <c r="D168" s="36"/>
      <c r="E168" s="48"/>
      <c r="F168" s="2"/>
      <c r="G168" s="82"/>
      <c r="H168" s="83"/>
      <c r="I168" s="83"/>
      <c r="J168" s="83"/>
      <c r="K168" s="83"/>
      <c r="L168" s="83"/>
      <c r="M168" s="83"/>
      <c r="N168" s="83"/>
      <c r="O168" s="83"/>
      <c r="P168" s="924"/>
      <c r="Q168" s="157"/>
    </row>
    <row r="169" spans="1:17" x14ac:dyDescent="0.3">
      <c r="A169" s="12"/>
      <c r="G169" s="75" t="s">
        <v>369</v>
      </c>
      <c r="H169" s="31">
        <f>'BUDGET DETAIL'!S475</f>
        <v>3287</v>
      </c>
      <c r="I169" s="31">
        <f>'BUDGET DETAIL'!AF475</f>
        <v>3287</v>
      </c>
      <c r="J169" s="31">
        <f>'BUDGET DETAIL'!AS475</f>
        <v>3351.96</v>
      </c>
      <c r="K169" s="31">
        <f>'BUDGET DETAIL'!BF475</f>
        <v>3352</v>
      </c>
      <c r="L169" s="31">
        <f>'BUDGET DETAIL'!BR475</f>
        <v>3352</v>
      </c>
      <c r="M169" s="31">
        <f>'BUDGET DETAIL'!BW475</f>
        <v>3352</v>
      </c>
      <c r="N169" s="31">
        <f>'BUDGET DETAIL'!BZ475</f>
        <v>3352</v>
      </c>
      <c r="O169" s="31">
        <f>'BUDGET DETAIL'!CA475</f>
        <v>3352</v>
      </c>
      <c r="P169" s="397">
        <f>(O169-L169)/L169</f>
        <v>0</v>
      </c>
    </row>
    <row r="170" spans="1:17" x14ac:dyDescent="0.3">
      <c r="A170" s="12"/>
      <c r="G170" s="75" t="s">
        <v>11</v>
      </c>
      <c r="H170" s="31">
        <f>'BUDGET DETAIL'!S479</f>
        <v>3252.62</v>
      </c>
      <c r="I170" s="31">
        <f>'BUDGET DETAIL'!AF479</f>
        <v>2095.33</v>
      </c>
      <c r="J170" s="31">
        <f>'BUDGET DETAIL'!AS479</f>
        <v>1905.66</v>
      </c>
      <c r="K170" s="31">
        <f>'BUDGET DETAIL'!BF479</f>
        <v>3685.73</v>
      </c>
      <c r="L170" s="31">
        <f>'BUDGET DETAIL'!BR479</f>
        <v>3530</v>
      </c>
      <c r="M170" s="31">
        <f>'BUDGET DETAIL'!BW479</f>
        <v>3530</v>
      </c>
      <c r="N170" s="31">
        <f>'BUDGET DETAIL'!BZ479</f>
        <v>3530</v>
      </c>
      <c r="O170" s="31">
        <f>'BUDGET DETAIL'!CA479</f>
        <v>3530</v>
      </c>
      <c r="P170" s="397">
        <f>(O170-L170)/L170</f>
        <v>0</v>
      </c>
    </row>
    <row r="171" spans="1:17" s="19" customFormat="1" x14ac:dyDescent="0.3">
      <c r="A171" s="27"/>
      <c r="B171" s="8"/>
      <c r="C171" s="42"/>
      <c r="D171" s="42"/>
      <c r="E171" s="54"/>
      <c r="F171" s="8"/>
      <c r="G171" s="109" t="s">
        <v>259</v>
      </c>
      <c r="H171" s="77">
        <f t="shared" ref="H171:O171" si="43">SUM(H169:H170)</f>
        <v>6539.62</v>
      </c>
      <c r="I171" s="77">
        <f t="shared" si="43"/>
        <v>5382.33</v>
      </c>
      <c r="J171" s="77">
        <f t="shared" si="43"/>
        <v>5257.62</v>
      </c>
      <c r="K171" s="77">
        <f t="shared" si="43"/>
        <v>7037.73</v>
      </c>
      <c r="L171" s="77">
        <f t="shared" si="43"/>
        <v>6882</v>
      </c>
      <c r="M171" s="77">
        <f t="shared" si="43"/>
        <v>6882</v>
      </c>
      <c r="N171" s="77">
        <f t="shared" si="43"/>
        <v>6882</v>
      </c>
      <c r="O171" s="77">
        <f t="shared" si="43"/>
        <v>6882</v>
      </c>
      <c r="P171" s="925">
        <f>(O171-L171)/L171</f>
        <v>0</v>
      </c>
      <c r="Q171" s="159"/>
    </row>
    <row r="172" spans="1:17" x14ac:dyDescent="0.3">
      <c r="G172" s="7"/>
      <c r="H172" s="31"/>
      <c r="I172" s="31"/>
      <c r="J172" s="31"/>
      <c r="K172" s="31"/>
      <c r="L172" s="31"/>
      <c r="M172" s="31"/>
      <c r="N172" s="31"/>
      <c r="O172" s="31"/>
    </row>
    <row r="173" spans="1:17" s="19" customFormat="1" x14ac:dyDescent="0.3">
      <c r="A173" s="27"/>
      <c r="B173" s="8"/>
      <c r="C173" s="42"/>
      <c r="D173" s="42"/>
      <c r="E173" s="54"/>
      <c r="F173" s="8"/>
      <c r="G173" s="109" t="s">
        <v>260</v>
      </c>
      <c r="H173" s="77">
        <f>'BUDGET DETAIL'!S487</f>
        <v>27140.65</v>
      </c>
      <c r="I173" s="77">
        <f>'BUDGET DETAIL'!AF487</f>
        <v>18622</v>
      </c>
      <c r="J173" s="77">
        <f>'BUDGET DETAIL'!AS487</f>
        <v>8178.47</v>
      </c>
      <c r="K173" s="77">
        <f>'BUDGET DETAIL'!BF487</f>
        <v>8380</v>
      </c>
      <c r="L173" s="77">
        <f>'BUDGET DETAIL'!BR487</f>
        <v>8880</v>
      </c>
      <c r="M173" s="77">
        <f>'BUDGET DETAIL'!BW487</f>
        <v>8880</v>
      </c>
      <c r="N173" s="77">
        <f>'BUDGET DETAIL'!BZ487</f>
        <v>8880</v>
      </c>
      <c r="O173" s="77">
        <f>'BUDGET DETAIL'!CA487</f>
        <v>8880</v>
      </c>
      <c r="P173" s="925">
        <f>(O173-L173)/L173</f>
        <v>0</v>
      </c>
      <c r="Q173" s="159"/>
    </row>
    <row r="174" spans="1:17" ht="9.9" customHeight="1" x14ac:dyDescent="0.3">
      <c r="G174" s="7"/>
      <c r="H174" s="31"/>
      <c r="I174" s="31"/>
      <c r="J174" s="31"/>
      <c r="K174" s="31"/>
      <c r="L174" s="31"/>
      <c r="M174" s="31"/>
      <c r="N174" s="31"/>
      <c r="O174" s="31"/>
    </row>
    <row r="175" spans="1:17" s="1" customFormat="1" x14ac:dyDescent="0.3">
      <c r="A175" s="20"/>
      <c r="B175" s="5"/>
      <c r="C175" s="39"/>
      <c r="D175" s="39"/>
      <c r="E175" s="51"/>
      <c r="F175" s="5"/>
      <c r="G175" s="80" t="s">
        <v>261</v>
      </c>
      <c r="H175" s="81">
        <f t="shared" ref="H175:O175" si="44">H171+H173</f>
        <v>33680.270000000004</v>
      </c>
      <c r="I175" s="81">
        <f t="shared" si="44"/>
        <v>24004.33</v>
      </c>
      <c r="J175" s="81">
        <f t="shared" si="44"/>
        <v>13436.09</v>
      </c>
      <c r="K175" s="81">
        <f t="shared" si="44"/>
        <v>15417.73</v>
      </c>
      <c r="L175" s="81">
        <f t="shared" si="44"/>
        <v>15762</v>
      </c>
      <c r="M175" s="81">
        <f t="shared" si="44"/>
        <v>15762</v>
      </c>
      <c r="N175" s="81">
        <f t="shared" si="44"/>
        <v>15762</v>
      </c>
      <c r="O175" s="81">
        <f t="shared" si="44"/>
        <v>15762</v>
      </c>
      <c r="P175" s="926">
        <f>(O175-L175)/L175</f>
        <v>0</v>
      </c>
      <c r="Q175" s="158"/>
    </row>
    <row r="176" spans="1:17" ht="24" customHeight="1" x14ac:dyDescent="0.3">
      <c r="A176" s="12"/>
      <c r="B176" s="1"/>
      <c r="C176" s="35"/>
      <c r="D176" s="35"/>
    </row>
    <row r="177" spans="1:17" s="1" customFormat="1" ht="20.100000000000001" customHeight="1" x14ac:dyDescent="0.3">
      <c r="A177" s="58" t="s">
        <v>338</v>
      </c>
      <c r="B177" s="59"/>
      <c r="C177" s="60"/>
      <c r="D177" s="60"/>
      <c r="E177" s="61"/>
      <c r="F177" s="59"/>
      <c r="G177" s="59"/>
      <c r="H177" s="62">
        <f t="shared" ref="H177:O177" si="45">H166+H158+H150+H144+H135+H126+H175</f>
        <v>2405088.7400000002</v>
      </c>
      <c r="I177" s="62">
        <f t="shared" si="45"/>
        <v>2568134.9900000002</v>
      </c>
      <c r="J177" s="62">
        <f t="shared" si="45"/>
        <v>2472805.5</v>
      </c>
      <c r="K177" s="62">
        <f t="shared" si="45"/>
        <v>2602172.8699999996</v>
      </c>
      <c r="L177" s="62">
        <f t="shared" si="45"/>
        <v>2926406</v>
      </c>
      <c r="M177" s="62">
        <f t="shared" si="45"/>
        <v>2944964</v>
      </c>
      <c r="N177" s="62">
        <f t="shared" si="45"/>
        <v>2944964</v>
      </c>
      <c r="O177" s="62">
        <f t="shared" si="45"/>
        <v>3082797</v>
      </c>
      <c r="P177" s="927">
        <f>(O177-L177)/L177</f>
        <v>5.3441320172252241E-2</v>
      </c>
      <c r="Q177" s="158"/>
    </row>
    <row r="178" spans="1:17" s="1" customFormat="1" ht="20.100000000000001" customHeight="1" x14ac:dyDescent="0.3">
      <c r="A178" s="33"/>
      <c r="B178" s="10"/>
      <c r="C178" s="44"/>
      <c r="D178" s="44"/>
      <c r="E178" s="55"/>
      <c r="F178" s="10"/>
      <c r="G178" s="10"/>
      <c r="H178" s="34"/>
      <c r="I178" s="34"/>
      <c r="J178" s="34"/>
      <c r="K178" s="34"/>
      <c r="L178" s="34"/>
      <c r="M178" s="34"/>
      <c r="N178" s="34"/>
      <c r="O178" s="34"/>
      <c r="P178" s="397"/>
      <c r="Q178" s="158"/>
    </row>
    <row r="179" spans="1:17" s="1" customFormat="1" ht="20.100000000000001" customHeight="1" x14ac:dyDescent="0.3">
      <c r="A179" s="63" t="s">
        <v>160</v>
      </c>
      <c r="B179" s="59"/>
      <c r="C179" s="60"/>
      <c r="D179" s="60"/>
      <c r="E179" s="61"/>
      <c r="F179" s="59"/>
      <c r="G179" s="59"/>
      <c r="H179" s="62"/>
      <c r="I179" s="62"/>
      <c r="J179" s="62"/>
      <c r="K179" s="62"/>
      <c r="L179" s="62"/>
      <c r="M179" s="62"/>
      <c r="N179" s="62"/>
      <c r="O179" s="62"/>
      <c r="P179" s="923"/>
      <c r="Q179" s="158"/>
    </row>
    <row r="180" spans="1:17" s="1" customFormat="1" ht="15.6" x14ac:dyDescent="0.3">
      <c r="A180" s="14" t="s">
        <v>160</v>
      </c>
      <c r="B180" s="2"/>
      <c r="C180" s="36"/>
      <c r="D180" s="36"/>
      <c r="E180" s="48"/>
      <c r="F180" s="2"/>
      <c r="G180" s="2"/>
      <c r="H180" s="15"/>
      <c r="I180" s="15"/>
      <c r="J180" s="15"/>
      <c r="K180" s="15"/>
      <c r="L180" s="15"/>
      <c r="M180" s="15"/>
      <c r="N180" s="15"/>
      <c r="O180" s="15"/>
      <c r="P180" s="924"/>
      <c r="Q180" s="158"/>
    </row>
    <row r="181" spans="1:17" s="19" customFormat="1" x14ac:dyDescent="0.3">
      <c r="A181" s="27"/>
      <c r="B181" s="8"/>
      <c r="C181" s="42"/>
      <c r="D181" s="42"/>
      <c r="E181" s="54"/>
      <c r="F181" s="8"/>
      <c r="G181" s="57" t="s">
        <v>489</v>
      </c>
      <c r="H181" s="28">
        <f>'BUDGET DETAIL'!S497</f>
        <v>7771719.7400000002</v>
      </c>
      <c r="I181" s="28">
        <f>'BUDGET DETAIL'!AF497</f>
        <v>7989051.0499999998</v>
      </c>
      <c r="J181" s="28">
        <f>'BUDGET DETAIL'!AS497</f>
        <v>8695951.5600000005</v>
      </c>
      <c r="K181" s="28">
        <f>'BUDGET DETAIL'!BF497</f>
        <v>9013437.1799999997</v>
      </c>
      <c r="L181" s="28">
        <f>'BUDGET DETAIL'!BR497</f>
        <v>9368644</v>
      </c>
      <c r="M181" s="28">
        <f>'BUDGET DETAIL'!BW497</f>
        <v>9649704</v>
      </c>
      <c r="N181" s="28">
        <f>'BUDGET DETAIL'!BZ497</f>
        <v>9649704</v>
      </c>
      <c r="O181" s="28">
        <f>'BUDGET DETAIL'!CA497</f>
        <v>9735523</v>
      </c>
      <c r="P181" s="925">
        <f>(O181-L181)/L181</f>
        <v>3.9160309645664838E-2</v>
      </c>
      <c r="Q181" s="164"/>
    </row>
    <row r="183" spans="1:17" s="19" customFormat="1" x14ac:dyDescent="0.3">
      <c r="A183" s="27"/>
      <c r="B183" s="8"/>
      <c r="C183" s="42"/>
      <c r="D183" s="42"/>
      <c r="E183" s="54"/>
      <c r="F183" s="8"/>
      <c r="G183" s="57" t="s">
        <v>490</v>
      </c>
      <c r="H183" s="28">
        <f>'BUDGET DETAIL'!S501</f>
        <v>7199513</v>
      </c>
      <c r="I183" s="28">
        <f>'BUDGET DETAIL'!AF501</f>
        <v>7579412.8399999999</v>
      </c>
      <c r="J183" s="28">
        <f>'BUDGET DETAIL'!AS501</f>
        <v>7693567.3099999996</v>
      </c>
      <c r="K183" s="28">
        <f>'BUDGET DETAIL'!BF501</f>
        <v>7825842</v>
      </c>
      <c r="L183" s="28">
        <f>'BUDGET DETAIL'!BR501</f>
        <v>8476833</v>
      </c>
      <c r="M183" s="28">
        <f>'BUDGET DETAIL'!BW501</f>
        <v>8847182</v>
      </c>
      <c r="N183" s="28">
        <f>'BUDGET DETAIL'!BZ501</f>
        <v>8847182</v>
      </c>
      <c r="O183" s="28">
        <f>'BUDGET DETAIL'!CA501</f>
        <v>8776844</v>
      </c>
      <c r="P183" s="925">
        <f>(O183-L183)/L183</f>
        <v>3.5391873356476408E-2</v>
      </c>
      <c r="Q183" s="164"/>
    </row>
    <row r="185" spans="1:17" s="19" customFormat="1" x14ac:dyDescent="0.3">
      <c r="A185" s="27"/>
      <c r="B185" s="8"/>
      <c r="C185" s="42"/>
      <c r="D185" s="42"/>
      <c r="E185" s="54"/>
      <c r="F185" s="8"/>
      <c r="G185" s="56" t="s">
        <v>491</v>
      </c>
      <c r="H185" s="28">
        <f>'BUDGET DETAIL'!S504</f>
        <v>220690</v>
      </c>
      <c r="I185" s="28">
        <f>'BUDGET DETAIL'!AF504</f>
        <v>256915</v>
      </c>
      <c r="J185" s="28">
        <f>'BUDGET DETAIL'!AS504</f>
        <v>301595</v>
      </c>
      <c r="K185" s="28">
        <f>'BUDGET DETAIL'!BF504</f>
        <v>361812</v>
      </c>
      <c r="L185" s="28">
        <f>'BUDGET DETAIL'!BR504</f>
        <v>419370</v>
      </c>
      <c r="M185" s="28">
        <f>'BUDGET DETAIL'!BW504</f>
        <v>431952</v>
      </c>
      <c r="N185" s="28">
        <f>'BUDGET DETAIL'!BZ504</f>
        <v>431952</v>
      </c>
      <c r="O185" s="28">
        <f>'BUDGET DETAIL'!CA504</f>
        <v>442571</v>
      </c>
      <c r="P185" s="925">
        <f>(O185-L185)/L185</f>
        <v>5.5323461382550017E-2</v>
      </c>
      <c r="Q185" s="164"/>
    </row>
    <row r="186" spans="1:17" ht="9.9" customHeight="1" x14ac:dyDescent="0.3"/>
    <row r="187" spans="1:17" s="1" customFormat="1" x14ac:dyDescent="0.3">
      <c r="A187" s="20"/>
      <c r="B187" s="5"/>
      <c r="C187" s="39"/>
      <c r="D187" s="39"/>
      <c r="E187" s="51"/>
      <c r="F187" s="5"/>
      <c r="G187" s="21" t="s">
        <v>181</v>
      </c>
      <c r="H187" s="22">
        <f t="shared" ref="H187:O187" si="46">H181+H183+H185</f>
        <v>15191922.74</v>
      </c>
      <c r="I187" s="22">
        <f t="shared" si="46"/>
        <v>15825378.890000001</v>
      </c>
      <c r="J187" s="22">
        <f t="shared" si="46"/>
        <v>16691113.870000001</v>
      </c>
      <c r="K187" s="22">
        <f t="shared" si="46"/>
        <v>17201091.18</v>
      </c>
      <c r="L187" s="22">
        <f t="shared" si="46"/>
        <v>18264847</v>
      </c>
      <c r="M187" s="22">
        <f t="shared" si="46"/>
        <v>18928838</v>
      </c>
      <c r="N187" s="22">
        <f t="shared" si="46"/>
        <v>18928838</v>
      </c>
      <c r="O187" s="22">
        <f t="shared" si="46"/>
        <v>18954938</v>
      </c>
      <c r="P187" s="926">
        <f>(O187-L187)/L187</f>
        <v>3.7782468147693767E-2</v>
      </c>
      <c r="Q187" s="158"/>
    </row>
    <row r="188" spans="1:17" ht="26.1" customHeight="1" x14ac:dyDescent="0.3">
      <c r="A188" s="12"/>
      <c r="B188" s="1"/>
      <c r="C188" s="35"/>
      <c r="D188" s="35"/>
    </row>
    <row r="189" spans="1:17" s="1" customFormat="1" ht="20.100000000000001" customHeight="1" x14ac:dyDescent="0.3">
      <c r="A189" s="58" t="s">
        <v>339</v>
      </c>
      <c r="B189" s="59"/>
      <c r="C189" s="60"/>
      <c r="D189" s="60"/>
      <c r="E189" s="61"/>
      <c r="F189" s="59"/>
      <c r="G189" s="59"/>
      <c r="H189" s="62">
        <f t="shared" ref="H189:O189" si="47">SUM(H187)</f>
        <v>15191922.74</v>
      </c>
      <c r="I189" s="62">
        <f t="shared" si="47"/>
        <v>15825378.890000001</v>
      </c>
      <c r="J189" s="62">
        <f t="shared" si="47"/>
        <v>16691113.870000001</v>
      </c>
      <c r="K189" s="62">
        <f t="shared" si="47"/>
        <v>17201091.18</v>
      </c>
      <c r="L189" s="62">
        <f t="shared" si="47"/>
        <v>18264847</v>
      </c>
      <c r="M189" s="62">
        <f t="shared" si="47"/>
        <v>18928838</v>
      </c>
      <c r="N189" s="62">
        <f t="shared" si="47"/>
        <v>18928838</v>
      </c>
      <c r="O189" s="62">
        <f t="shared" si="47"/>
        <v>18954938</v>
      </c>
      <c r="P189" s="927">
        <f>(O189-L189)/L189</f>
        <v>3.7782468147693767E-2</v>
      </c>
      <c r="Q189" s="158"/>
    </row>
    <row r="190" spans="1:17" s="1" customFormat="1" ht="20.100000000000001" customHeight="1" x14ac:dyDescent="0.3">
      <c r="A190" s="33"/>
      <c r="B190" s="10"/>
      <c r="C190" s="44"/>
      <c r="D190" s="44"/>
      <c r="E190" s="55"/>
      <c r="F190" s="10"/>
      <c r="G190" s="10"/>
      <c r="H190" s="34"/>
      <c r="I190" s="34"/>
      <c r="J190" s="34"/>
      <c r="K190" s="34"/>
      <c r="L190" s="34"/>
      <c r="M190" s="34"/>
      <c r="N190" s="34"/>
      <c r="O190" s="34"/>
      <c r="P190" s="397"/>
      <c r="Q190" s="158"/>
    </row>
    <row r="191" spans="1:17" s="1" customFormat="1" ht="20.100000000000001" customHeight="1" x14ac:dyDescent="0.3">
      <c r="A191" s="33"/>
      <c r="B191" s="10"/>
      <c r="C191" s="44"/>
      <c r="D191" s="44"/>
      <c r="E191" s="55"/>
      <c r="F191" s="10"/>
      <c r="G191" s="10"/>
      <c r="H191" s="34"/>
      <c r="I191" s="34"/>
      <c r="J191" s="34"/>
      <c r="K191" s="34"/>
      <c r="L191" s="34"/>
      <c r="M191" s="34"/>
      <c r="N191" s="34"/>
      <c r="O191" s="34"/>
      <c r="P191" s="397"/>
      <c r="Q191" s="158"/>
    </row>
    <row r="192" spans="1:17" s="1" customFormat="1" ht="20.100000000000001" customHeight="1" x14ac:dyDescent="0.3">
      <c r="A192" s="63" t="s">
        <v>342</v>
      </c>
      <c r="B192" s="59"/>
      <c r="C192" s="60"/>
      <c r="D192" s="60"/>
      <c r="E192" s="61"/>
      <c r="F192" s="59"/>
      <c r="G192" s="59"/>
      <c r="H192" s="62"/>
      <c r="I192" s="62"/>
      <c r="J192" s="62"/>
      <c r="K192" s="62"/>
      <c r="L192" s="62"/>
      <c r="M192" s="62"/>
      <c r="N192" s="62"/>
      <c r="O192" s="62"/>
      <c r="P192" s="923"/>
      <c r="Q192" s="158"/>
    </row>
    <row r="193" spans="1:17" s="1" customFormat="1" ht="15.6" x14ac:dyDescent="0.3">
      <c r="A193" s="14" t="s">
        <v>616</v>
      </c>
      <c r="B193" s="2"/>
      <c r="C193" s="36"/>
      <c r="D193" s="36"/>
      <c r="E193" s="48"/>
      <c r="F193" s="2"/>
      <c r="G193" s="2"/>
      <c r="H193" s="15"/>
      <c r="I193" s="15"/>
      <c r="J193" s="15"/>
      <c r="K193" s="15"/>
      <c r="L193" s="15"/>
      <c r="M193" s="15"/>
      <c r="N193" s="15"/>
      <c r="O193" s="15"/>
      <c r="P193" s="924"/>
      <c r="Q193" s="157"/>
    </row>
    <row r="194" spans="1:17" s="7" customFormat="1" x14ac:dyDescent="0.3">
      <c r="A194" s="25"/>
      <c r="C194" s="40"/>
      <c r="D194" s="40"/>
      <c r="E194" s="53"/>
      <c r="G194" s="75" t="s">
        <v>11</v>
      </c>
      <c r="H194" s="31">
        <f>'BUDGET DETAIL'!S514</f>
        <v>5306</v>
      </c>
      <c r="I194" s="31">
        <f>'BUDGET DETAIL'!AF514</f>
        <v>5306</v>
      </c>
      <c r="J194" s="31">
        <f>'BUDGET DETAIL'!AS514</f>
        <v>5412.96</v>
      </c>
      <c r="K194" s="31">
        <f>'BUDGET DETAIL'!BF514</f>
        <v>5413</v>
      </c>
      <c r="L194" s="31">
        <f>'BUDGET DETAIL'!BR514</f>
        <v>5413</v>
      </c>
      <c r="M194" s="31">
        <f>'BUDGET DETAIL'!BW514</f>
        <v>5413</v>
      </c>
      <c r="N194" s="31">
        <f>'BUDGET DETAIL'!BZ514</f>
        <v>5413</v>
      </c>
      <c r="O194" s="31">
        <f>'BUDGET DETAIL'!CA514</f>
        <v>5413</v>
      </c>
      <c r="P194" s="397">
        <f>(O194-L194)/L194</f>
        <v>0</v>
      </c>
      <c r="Q194" s="160"/>
    </row>
    <row r="195" spans="1:17" s="19" customFormat="1" x14ac:dyDescent="0.3">
      <c r="A195" s="27"/>
      <c r="B195" s="8"/>
      <c r="C195" s="42"/>
      <c r="D195" s="42"/>
      <c r="E195" s="54"/>
      <c r="F195" s="8"/>
      <c r="G195" s="57" t="s">
        <v>623</v>
      </c>
      <c r="H195" s="28">
        <f t="shared" ref="H195" si="48">SUM(H194)</f>
        <v>5306</v>
      </c>
      <c r="I195" s="28">
        <f t="shared" ref="I195:J195" si="49">SUM(I194)</f>
        <v>5306</v>
      </c>
      <c r="J195" s="28">
        <f t="shared" si="49"/>
        <v>5412.96</v>
      </c>
      <c r="K195" s="28">
        <f t="shared" ref="K195:L195" si="50">SUM(K194)</f>
        <v>5413</v>
      </c>
      <c r="L195" s="28">
        <f t="shared" si="50"/>
        <v>5413</v>
      </c>
      <c r="M195" s="28">
        <f t="shared" ref="M195:O195" si="51">SUM(M194)</f>
        <v>5413</v>
      </c>
      <c r="N195" s="28">
        <f t="shared" si="51"/>
        <v>5413</v>
      </c>
      <c r="O195" s="28">
        <f t="shared" si="51"/>
        <v>5413</v>
      </c>
      <c r="P195" s="925">
        <f>(O195-L195)/L195</f>
        <v>0</v>
      </c>
      <c r="Q195" s="159"/>
    </row>
    <row r="197" spans="1:17" s="19" customFormat="1" x14ac:dyDescent="0.3">
      <c r="A197" s="17"/>
      <c r="B197" s="4"/>
      <c r="C197" s="38"/>
      <c r="D197" s="38"/>
      <c r="E197" s="50"/>
      <c r="F197" s="4"/>
      <c r="G197" s="4" t="s">
        <v>621</v>
      </c>
      <c r="H197" s="18">
        <f>'BUDGET DETAIL'!S517</f>
        <v>0</v>
      </c>
      <c r="I197" s="18">
        <f>'BUDGET DETAIL'!AF517</f>
        <v>2627.5</v>
      </c>
      <c r="J197" s="18">
        <f>'BUDGET DETAIL'!AS517</f>
        <v>3669.95</v>
      </c>
      <c r="K197" s="18">
        <f>'BUDGET DETAIL'!BF517</f>
        <v>5921.95</v>
      </c>
      <c r="L197" s="18">
        <f>'BUDGET DETAIL'!BR517</f>
        <v>10000</v>
      </c>
      <c r="M197" s="18">
        <f>'BUDGET DETAIL'!BW517</f>
        <v>10000</v>
      </c>
      <c r="N197" s="18">
        <f>'BUDGET DETAIL'!BZ517</f>
        <v>10000</v>
      </c>
      <c r="O197" s="18">
        <f>'BUDGET DETAIL'!CA517</f>
        <v>10000</v>
      </c>
      <c r="P197" s="925">
        <f>(O197-L197)/L197</f>
        <v>0</v>
      </c>
      <c r="Q197" s="159"/>
    </row>
    <row r="198" spans="1:17" ht="9.9" customHeight="1" x14ac:dyDescent="0.3"/>
    <row r="199" spans="1:17" s="1" customFormat="1" x14ac:dyDescent="0.3">
      <c r="A199" s="20"/>
      <c r="B199" s="5"/>
      <c r="C199" s="39"/>
      <c r="D199" s="39"/>
      <c r="E199" s="51"/>
      <c r="F199" s="5"/>
      <c r="G199" s="21" t="s">
        <v>622</v>
      </c>
      <c r="H199" s="22">
        <f t="shared" ref="H199" si="52">H195+H197</f>
        <v>5306</v>
      </c>
      <c r="I199" s="22">
        <f t="shared" ref="I199:J199" si="53">I195+I197</f>
        <v>7933.5</v>
      </c>
      <c r="J199" s="22">
        <f t="shared" si="53"/>
        <v>9082.91</v>
      </c>
      <c r="K199" s="22">
        <f t="shared" ref="K199:L199" si="54">K195+K197</f>
        <v>11334.95</v>
      </c>
      <c r="L199" s="22">
        <f t="shared" si="54"/>
        <v>15413</v>
      </c>
      <c r="M199" s="22">
        <f t="shared" ref="M199:O199" si="55">M195+M197</f>
        <v>15413</v>
      </c>
      <c r="N199" s="22">
        <f t="shared" si="55"/>
        <v>15413</v>
      </c>
      <c r="O199" s="22">
        <f t="shared" si="55"/>
        <v>15413</v>
      </c>
      <c r="P199" s="926">
        <f>(O199-L199)/L199</f>
        <v>0</v>
      </c>
      <c r="Q199" s="158"/>
    </row>
    <row r="200" spans="1:17" ht="26.1" customHeight="1" x14ac:dyDescent="0.3">
      <c r="A200" s="12"/>
      <c r="B200" s="1"/>
      <c r="C200" s="35"/>
      <c r="D200" s="35"/>
    </row>
    <row r="201" spans="1:17" s="1" customFormat="1" ht="15.6" x14ac:dyDescent="0.3">
      <c r="A201" s="14" t="s">
        <v>182</v>
      </c>
      <c r="B201" s="2"/>
      <c r="C201" s="36"/>
      <c r="D201" s="36"/>
      <c r="E201" s="48"/>
      <c r="F201" s="2"/>
      <c r="G201" s="2"/>
      <c r="H201" s="15"/>
      <c r="I201" s="15"/>
      <c r="J201" s="15"/>
      <c r="K201" s="15"/>
      <c r="L201" s="15"/>
      <c r="M201" s="15"/>
      <c r="N201" s="15"/>
      <c r="O201" s="15"/>
      <c r="P201" s="924"/>
      <c r="Q201" s="157"/>
    </row>
    <row r="202" spans="1:17" s="7" customFormat="1" x14ac:dyDescent="0.3">
      <c r="A202" s="25"/>
      <c r="C202" s="40"/>
      <c r="D202" s="40"/>
      <c r="E202" s="53"/>
      <c r="G202" s="75" t="s">
        <v>369</v>
      </c>
      <c r="H202" s="31">
        <f>'BUDGET DETAIL'!S524</f>
        <v>100882.8</v>
      </c>
      <c r="I202" s="31">
        <f>'BUDGET DETAIL'!AF524</f>
        <v>105646</v>
      </c>
      <c r="J202" s="31">
        <f>'BUDGET DETAIL'!AS524</f>
        <v>102054</v>
      </c>
      <c r="K202" s="31">
        <f>'BUDGET DETAIL'!BF524</f>
        <v>80367.240000000005</v>
      </c>
      <c r="L202" s="31">
        <f>'BUDGET DETAIL'!BR524</f>
        <v>66846</v>
      </c>
      <c r="M202" s="31">
        <f>'BUDGET DETAIL'!BW524</f>
        <v>66956</v>
      </c>
      <c r="N202" s="31">
        <f>'BUDGET DETAIL'!BZ524</f>
        <v>66956</v>
      </c>
      <c r="O202" s="31">
        <f>'BUDGET DETAIL'!CA524</f>
        <v>66956</v>
      </c>
      <c r="P202" s="397">
        <f>(O202-L202)/L202</f>
        <v>1.6455734075337342E-3</v>
      </c>
      <c r="Q202" s="160"/>
    </row>
    <row r="203" spans="1:17" s="7" customFormat="1" x14ac:dyDescent="0.3">
      <c r="A203" s="25"/>
      <c r="C203" s="40"/>
      <c r="D203" s="40"/>
      <c r="E203" s="53"/>
      <c r="G203" s="75" t="s">
        <v>11</v>
      </c>
      <c r="H203" s="31">
        <f>'BUDGET DETAIL'!S534</f>
        <v>308316.86000000004</v>
      </c>
      <c r="I203" s="31">
        <f>'BUDGET DETAIL'!AF534</f>
        <v>313438.55</v>
      </c>
      <c r="J203" s="31">
        <f>'BUDGET DETAIL'!AS534</f>
        <v>298505.76999999996</v>
      </c>
      <c r="K203" s="31">
        <f>'BUDGET DETAIL'!BF534</f>
        <v>310895.41000000003</v>
      </c>
      <c r="L203" s="31">
        <f>'BUDGET DETAIL'!BR534</f>
        <v>331042</v>
      </c>
      <c r="M203" s="31">
        <f>'BUDGET DETAIL'!BW534</f>
        <v>344790</v>
      </c>
      <c r="N203" s="31">
        <f>'BUDGET DETAIL'!BZ534</f>
        <v>344790</v>
      </c>
      <c r="O203" s="31">
        <f>'BUDGET DETAIL'!CA534</f>
        <v>344790</v>
      </c>
      <c r="P203" s="397">
        <f>(O203-L203)/L203</f>
        <v>4.1529473601536963E-2</v>
      </c>
      <c r="Q203" s="160"/>
    </row>
    <row r="204" spans="1:17" s="19" customFormat="1" x14ac:dyDescent="0.3">
      <c r="A204" s="27"/>
      <c r="B204" s="8"/>
      <c r="C204" s="42"/>
      <c r="D204" s="42"/>
      <c r="E204" s="54"/>
      <c r="F204" s="8"/>
      <c r="G204" s="57" t="s">
        <v>183</v>
      </c>
      <c r="H204" s="28">
        <f t="shared" ref="H204:O204" si="56">H202+H203</f>
        <v>409199.66000000003</v>
      </c>
      <c r="I204" s="28">
        <f t="shared" si="56"/>
        <v>419084.55</v>
      </c>
      <c r="J204" s="28">
        <f t="shared" si="56"/>
        <v>400559.76999999996</v>
      </c>
      <c r="K204" s="28">
        <f t="shared" si="56"/>
        <v>391262.65</v>
      </c>
      <c r="L204" s="28">
        <f t="shared" si="56"/>
        <v>397888</v>
      </c>
      <c r="M204" s="28">
        <f t="shared" si="56"/>
        <v>411746</v>
      </c>
      <c r="N204" s="28">
        <f t="shared" si="56"/>
        <v>411746</v>
      </c>
      <c r="O204" s="28">
        <f t="shared" si="56"/>
        <v>411746</v>
      </c>
      <c r="P204" s="925">
        <f>(O204-L204)/L204</f>
        <v>3.4828896573910244E-2</v>
      </c>
      <c r="Q204" s="159"/>
    </row>
    <row r="206" spans="1:17" s="19" customFormat="1" x14ac:dyDescent="0.3">
      <c r="A206" s="27"/>
      <c r="B206" s="8"/>
      <c r="C206" s="42"/>
      <c r="D206" s="42"/>
      <c r="E206" s="54"/>
      <c r="F206" s="8"/>
      <c r="G206" s="8" t="s">
        <v>281</v>
      </c>
      <c r="H206" s="28">
        <f>'BUDGET DETAIL'!S576</f>
        <v>233686.90999999997</v>
      </c>
      <c r="I206" s="28">
        <f>'BUDGET DETAIL'!AF576</f>
        <v>239620.36000000002</v>
      </c>
      <c r="J206" s="28">
        <f>'BUDGET DETAIL'!AS576</f>
        <v>198756.88</v>
      </c>
      <c r="K206" s="28">
        <f>'BUDGET DETAIL'!BF576</f>
        <v>213762.3</v>
      </c>
      <c r="L206" s="28">
        <f>'BUDGET DETAIL'!BR576</f>
        <v>246558</v>
      </c>
      <c r="M206" s="28">
        <f>'BUDGET DETAIL'!BW576</f>
        <v>246558</v>
      </c>
      <c r="N206" s="28">
        <f>'BUDGET DETAIL'!BZ576</f>
        <v>246558</v>
      </c>
      <c r="O206" s="28">
        <f>'BUDGET DETAIL'!CA576</f>
        <v>246558</v>
      </c>
      <c r="P206" s="925">
        <f>(O206-L206)/L206</f>
        <v>0</v>
      </c>
      <c r="Q206" s="159"/>
    </row>
    <row r="208" spans="1:17" s="19" customFormat="1" x14ac:dyDescent="0.3">
      <c r="A208" s="27"/>
      <c r="B208" s="8"/>
      <c r="C208" s="42"/>
      <c r="D208" s="42"/>
      <c r="E208" s="54"/>
      <c r="F208" s="8"/>
      <c r="G208" s="8" t="s">
        <v>487</v>
      </c>
      <c r="H208" s="28">
        <f>'BUDGET DETAIL'!S580</f>
        <v>29256.23</v>
      </c>
      <c r="I208" s="28">
        <f>'BUDGET DETAIL'!AF580</f>
        <v>0</v>
      </c>
      <c r="J208" s="28">
        <f>'BUDGET DETAIL'!AS580</f>
        <v>34997.620000000003</v>
      </c>
      <c r="K208" s="28">
        <f>'BUDGET DETAIL'!BF580</f>
        <v>0</v>
      </c>
      <c r="L208" s="28">
        <f>'BUDGET DETAIL'!BR580</f>
        <v>0</v>
      </c>
      <c r="M208" s="28">
        <f>'BUDGET DETAIL'!BW580</f>
        <v>0</v>
      </c>
      <c r="N208" s="28">
        <f>'BUDGET DETAIL'!BZ580</f>
        <v>0</v>
      </c>
      <c r="O208" s="28">
        <f>'BUDGET DETAIL'!CA580</f>
        <v>0</v>
      </c>
      <c r="P208" s="925"/>
      <c r="Q208" s="159"/>
    </row>
    <row r="209" spans="1:17" ht="9.9" customHeight="1" x14ac:dyDescent="0.3"/>
    <row r="210" spans="1:17" s="1" customFormat="1" x14ac:dyDescent="0.3">
      <c r="A210" s="20"/>
      <c r="B210" s="5"/>
      <c r="C210" s="39"/>
      <c r="D210" s="39"/>
      <c r="E210" s="51"/>
      <c r="F210" s="5"/>
      <c r="G210" s="21" t="s">
        <v>184</v>
      </c>
      <c r="H210" s="22">
        <f t="shared" ref="H210:O210" si="57">H204+H206+H208</f>
        <v>672142.8</v>
      </c>
      <c r="I210" s="22">
        <f t="shared" si="57"/>
        <v>658704.91</v>
      </c>
      <c r="J210" s="22">
        <f t="shared" si="57"/>
        <v>634314.2699999999</v>
      </c>
      <c r="K210" s="22">
        <f t="shared" si="57"/>
        <v>605024.94999999995</v>
      </c>
      <c r="L210" s="22">
        <f t="shared" si="57"/>
        <v>644446</v>
      </c>
      <c r="M210" s="22">
        <f t="shared" si="57"/>
        <v>658304</v>
      </c>
      <c r="N210" s="22">
        <f t="shared" si="57"/>
        <v>658304</v>
      </c>
      <c r="O210" s="22">
        <f t="shared" si="57"/>
        <v>658304</v>
      </c>
      <c r="P210" s="926">
        <f>(O210-L210)/L210</f>
        <v>2.1503741197866074E-2</v>
      </c>
      <c r="Q210" s="158"/>
    </row>
    <row r="211" spans="1:17" ht="26.1" customHeight="1" x14ac:dyDescent="0.3">
      <c r="A211" s="12"/>
      <c r="B211" s="1"/>
      <c r="C211" s="35"/>
      <c r="D211" s="35"/>
    </row>
    <row r="212" spans="1:17" s="1" customFormat="1" ht="15.6" x14ac:dyDescent="0.3">
      <c r="A212" s="14" t="s">
        <v>185</v>
      </c>
      <c r="B212" s="2"/>
      <c r="C212" s="36"/>
      <c r="D212" s="36"/>
      <c r="E212" s="48"/>
      <c r="F212" s="2"/>
      <c r="G212" s="2"/>
      <c r="H212" s="15"/>
      <c r="I212" s="15"/>
      <c r="J212" s="15"/>
      <c r="K212" s="15"/>
      <c r="L212" s="15"/>
      <c r="M212" s="15"/>
      <c r="N212" s="15"/>
      <c r="O212" s="15"/>
      <c r="P212" s="924"/>
      <c r="Q212" s="157"/>
    </row>
    <row r="213" spans="1:17" s="19" customFormat="1" x14ac:dyDescent="0.3">
      <c r="A213" s="27"/>
      <c r="B213" s="8"/>
      <c r="C213" s="42"/>
      <c r="D213" s="42"/>
      <c r="E213" s="54"/>
      <c r="F213" s="8"/>
      <c r="G213" s="57" t="s">
        <v>186</v>
      </c>
      <c r="H213" s="28">
        <f>'BUDGET DETAIL'!S588</f>
        <v>42956.22</v>
      </c>
      <c r="I213" s="28">
        <f>'BUDGET DETAIL'!AF588</f>
        <v>32328</v>
      </c>
      <c r="J213" s="28">
        <f>'BUDGET DETAIL'!AS588</f>
        <v>26400.9</v>
      </c>
      <c r="K213" s="28">
        <f>'BUDGET DETAIL'!BF588</f>
        <v>33870.449999999997</v>
      </c>
      <c r="L213" s="28">
        <f>'BUDGET DETAIL'!BR588</f>
        <v>33870</v>
      </c>
      <c r="M213" s="28">
        <f>'BUDGET DETAIL'!BW588</f>
        <v>38870</v>
      </c>
      <c r="N213" s="28">
        <f>'BUDGET DETAIL'!BZ588</f>
        <v>38870</v>
      </c>
      <c r="O213" s="28">
        <f>'BUDGET DETAIL'!CA588</f>
        <v>38870</v>
      </c>
      <c r="P213" s="925">
        <f>(O213-L213)/L213</f>
        <v>0.14762326542663123</v>
      </c>
      <c r="Q213" s="159"/>
    </row>
    <row r="215" spans="1:17" s="19" customFormat="1" x14ac:dyDescent="0.3">
      <c r="A215" s="27"/>
      <c r="B215" s="8"/>
      <c r="C215" s="42"/>
      <c r="D215" s="42"/>
      <c r="E215" s="54"/>
      <c r="F215" s="8"/>
      <c r="G215" s="57" t="s">
        <v>187</v>
      </c>
      <c r="H215" s="28">
        <f>'BUDGET DETAIL'!S597</f>
        <v>216777.97999999998</v>
      </c>
      <c r="I215" s="28">
        <f>'BUDGET DETAIL'!AF597</f>
        <v>156965.33999999997</v>
      </c>
      <c r="J215" s="28">
        <f>'BUDGET DETAIL'!AS597</f>
        <v>111598.14</v>
      </c>
      <c r="K215" s="28">
        <f>'BUDGET DETAIL'!BF597</f>
        <v>162598.58999999997</v>
      </c>
      <c r="L215" s="28">
        <f>'BUDGET DETAIL'!BR597</f>
        <v>181845</v>
      </c>
      <c r="M215" s="28">
        <f>'BUDGET DETAIL'!BW597</f>
        <v>176845</v>
      </c>
      <c r="N215" s="28">
        <f>'BUDGET DETAIL'!BZ597</f>
        <v>176845</v>
      </c>
      <c r="O215" s="28">
        <f>'BUDGET DETAIL'!CA597</f>
        <v>176845</v>
      </c>
      <c r="P215" s="925">
        <f>(O215-L215)/L215</f>
        <v>-2.749594434820864E-2</v>
      </c>
      <c r="Q215" s="159"/>
    </row>
    <row r="216" spans="1:17" ht="9.9" customHeight="1" x14ac:dyDescent="0.3"/>
    <row r="217" spans="1:17" s="1" customFormat="1" x14ac:dyDescent="0.3">
      <c r="A217" s="20"/>
      <c r="B217" s="5"/>
      <c r="C217" s="39"/>
      <c r="D217" s="39"/>
      <c r="E217" s="51"/>
      <c r="F217" s="5"/>
      <c r="G217" s="21" t="s">
        <v>188</v>
      </c>
      <c r="H217" s="22">
        <f t="shared" ref="H217:O217" si="58">H213+H215</f>
        <v>259734.19999999998</v>
      </c>
      <c r="I217" s="22">
        <f t="shared" si="58"/>
        <v>189293.33999999997</v>
      </c>
      <c r="J217" s="22">
        <f t="shared" si="58"/>
        <v>137999.04000000001</v>
      </c>
      <c r="K217" s="22">
        <f t="shared" si="58"/>
        <v>196469.03999999998</v>
      </c>
      <c r="L217" s="22">
        <f t="shared" si="58"/>
        <v>215715</v>
      </c>
      <c r="M217" s="22">
        <f t="shared" si="58"/>
        <v>215715</v>
      </c>
      <c r="N217" s="22">
        <f t="shared" si="58"/>
        <v>215715</v>
      </c>
      <c r="O217" s="22">
        <f t="shared" si="58"/>
        <v>215715</v>
      </c>
      <c r="P217" s="926">
        <f>(O217-L217)/L217</f>
        <v>0</v>
      </c>
      <c r="Q217" s="158"/>
    </row>
    <row r="218" spans="1:17" ht="26.1" customHeight="1" x14ac:dyDescent="0.3">
      <c r="A218" s="12"/>
      <c r="B218" s="1"/>
      <c r="C218" s="35"/>
      <c r="D218" s="35"/>
    </row>
    <row r="219" spans="1:17" s="1" customFormat="1" ht="15.6" x14ac:dyDescent="0.3">
      <c r="A219" s="14" t="s">
        <v>189</v>
      </c>
      <c r="B219" s="2"/>
      <c r="C219" s="36"/>
      <c r="D219" s="36"/>
      <c r="E219" s="48"/>
      <c r="F219" s="2"/>
      <c r="G219" s="2"/>
      <c r="H219" s="15"/>
      <c r="I219" s="15"/>
      <c r="J219" s="15"/>
      <c r="K219" s="15"/>
      <c r="L219" s="15"/>
      <c r="M219" s="15"/>
      <c r="N219" s="15"/>
      <c r="O219" s="15"/>
      <c r="P219" s="924"/>
      <c r="Q219" s="157"/>
    </row>
    <row r="220" spans="1:17" s="19" customFormat="1" x14ac:dyDescent="0.3">
      <c r="A220" s="27"/>
      <c r="B220" s="8"/>
      <c r="C220" s="42"/>
      <c r="D220" s="42"/>
      <c r="E220" s="54"/>
      <c r="F220" s="8"/>
      <c r="G220" s="57" t="s">
        <v>190</v>
      </c>
      <c r="H220" s="28">
        <f>'BUDGET DETAIL'!S603</f>
        <v>24990.34</v>
      </c>
      <c r="I220" s="28">
        <f>'BUDGET DETAIL'!AF603</f>
        <v>26110.95</v>
      </c>
      <c r="J220" s="28">
        <f>'BUDGET DETAIL'!AS603</f>
        <v>28756.2</v>
      </c>
      <c r="K220" s="28">
        <f>'BUDGET DETAIL'!BF603</f>
        <v>25381.91</v>
      </c>
      <c r="L220" s="28">
        <f>'BUDGET DETAIL'!BR603</f>
        <v>30000</v>
      </c>
      <c r="M220" s="28">
        <f>'BUDGET DETAIL'!BW603</f>
        <v>30000</v>
      </c>
      <c r="N220" s="28">
        <f>'BUDGET DETAIL'!BZ603</f>
        <v>30000</v>
      </c>
      <c r="O220" s="28">
        <f>'BUDGET DETAIL'!CA603</f>
        <v>30000</v>
      </c>
      <c r="P220" s="925">
        <f>(O220-L220)/L220</f>
        <v>0</v>
      </c>
      <c r="Q220" s="159"/>
    </row>
    <row r="221" spans="1:17" ht="9.9" customHeight="1" x14ac:dyDescent="0.3"/>
    <row r="222" spans="1:17" s="1" customFormat="1" x14ac:dyDescent="0.3">
      <c r="A222" s="20"/>
      <c r="B222" s="5"/>
      <c r="C222" s="39"/>
      <c r="D222" s="39"/>
      <c r="E222" s="51"/>
      <c r="F222" s="5"/>
      <c r="G222" s="21" t="s">
        <v>191</v>
      </c>
      <c r="H222" s="22">
        <f t="shared" ref="H222:O222" si="59">H220</f>
        <v>24990.34</v>
      </c>
      <c r="I222" s="22">
        <f t="shared" si="59"/>
        <v>26110.95</v>
      </c>
      <c r="J222" s="22">
        <f t="shared" si="59"/>
        <v>28756.2</v>
      </c>
      <c r="K222" s="22">
        <f t="shared" si="59"/>
        <v>25381.91</v>
      </c>
      <c r="L222" s="22">
        <f t="shared" si="59"/>
        <v>30000</v>
      </c>
      <c r="M222" s="22">
        <f t="shared" si="59"/>
        <v>30000</v>
      </c>
      <c r="N222" s="22">
        <f t="shared" si="59"/>
        <v>30000</v>
      </c>
      <c r="O222" s="22">
        <f t="shared" si="59"/>
        <v>30000</v>
      </c>
      <c r="P222" s="926">
        <f>(O222-L222)/L222</f>
        <v>0</v>
      </c>
      <c r="Q222" s="158"/>
    </row>
    <row r="223" spans="1:17" ht="26.1" customHeight="1" x14ac:dyDescent="0.3">
      <c r="A223" s="12"/>
      <c r="B223" s="1"/>
      <c r="C223" s="35"/>
      <c r="D223" s="35"/>
    </row>
    <row r="224" spans="1:17" s="1" customFormat="1" ht="15.6" x14ac:dyDescent="0.3">
      <c r="A224" s="14" t="s">
        <v>196</v>
      </c>
      <c r="B224" s="2"/>
      <c r="C224" s="36"/>
      <c r="D224" s="36"/>
      <c r="E224" s="48"/>
      <c r="F224" s="2"/>
      <c r="G224" s="2"/>
      <c r="H224" s="83"/>
      <c r="I224" s="83"/>
      <c r="J224" s="83"/>
      <c r="K224" s="83"/>
      <c r="L224" s="83"/>
      <c r="M224" s="83"/>
      <c r="N224" s="83"/>
      <c r="O224" s="83"/>
      <c r="P224" s="930"/>
      <c r="Q224" s="158"/>
    </row>
    <row r="225" spans="1:17" s="19" customFormat="1" x14ac:dyDescent="0.3">
      <c r="A225" s="27"/>
      <c r="B225" s="8"/>
      <c r="C225" s="42"/>
      <c r="D225" s="42"/>
      <c r="E225" s="54"/>
      <c r="F225" s="8"/>
      <c r="G225" s="57" t="s">
        <v>197</v>
      </c>
      <c r="H225" s="77">
        <f>'BUDGET DETAIL'!S610</f>
        <v>408429</v>
      </c>
      <c r="I225" s="77">
        <f>'BUDGET DETAIL'!AF610</f>
        <v>428172</v>
      </c>
      <c r="J225" s="77">
        <f>'BUDGET DETAIL'!AS610</f>
        <v>428912</v>
      </c>
      <c r="K225" s="77">
        <f>'BUDGET DETAIL'!BF610</f>
        <v>428396.5</v>
      </c>
      <c r="L225" s="77">
        <f>'BUDGET DETAIL'!BR610</f>
        <v>429915</v>
      </c>
      <c r="M225" s="77">
        <f>'BUDGET DETAIL'!BW610</f>
        <v>428915</v>
      </c>
      <c r="N225" s="77">
        <f>'BUDGET DETAIL'!BZ610</f>
        <v>428915</v>
      </c>
      <c r="O225" s="77">
        <f>'BUDGET DETAIL'!CA610</f>
        <v>428915</v>
      </c>
      <c r="P225" s="925">
        <f>(O225-L225)/L225</f>
        <v>-2.326041194189549E-3</v>
      </c>
      <c r="Q225" s="159"/>
    </row>
    <row r="226" spans="1:17" ht="9.9" customHeight="1" x14ac:dyDescent="0.3">
      <c r="H226" s="31"/>
      <c r="I226" s="31"/>
      <c r="J226" s="31"/>
      <c r="K226" s="31"/>
      <c r="L226" s="31"/>
      <c r="M226" s="31"/>
      <c r="N226" s="31"/>
      <c r="O226" s="31"/>
    </row>
    <row r="227" spans="1:17" s="1" customFormat="1" x14ac:dyDescent="0.3">
      <c r="A227" s="20"/>
      <c r="B227" s="5"/>
      <c r="C227" s="39"/>
      <c r="D227" s="39"/>
      <c r="E227" s="51"/>
      <c r="F227" s="5"/>
      <c r="G227" s="21" t="s">
        <v>198</v>
      </c>
      <c r="H227" s="81">
        <f t="shared" ref="H227:O227" si="60">H225</f>
        <v>408429</v>
      </c>
      <c r="I227" s="81">
        <f t="shared" si="60"/>
        <v>428172</v>
      </c>
      <c r="J227" s="81">
        <f t="shared" si="60"/>
        <v>428912</v>
      </c>
      <c r="K227" s="81">
        <f t="shared" si="60"/>
        <v>428396.5</v>
      </c>
      <c r="L227" s="81">
        <f t="shared" si="60"/>
        <v>429915</v>
      </c>
      <c r="M227" s="81">
        <f t="shared" si="60"/>
        <v>428915</v>
      </c>
      <c r="N227" s="81">
        <f t="shared" si="60"/>
        <v>428915</v>
      </c>
      <c r="O227" s="81">
        <f t="shared" si="60"/>
        <v>428915</v>
      </c>
      <c r="P227" s="926">
        <f>(O227-L227)/L227</f>
        <v>-2.326041194189549E-3</v>
      </c>
      <c r="Q227" s="158"/>
    </row>
    <row r="228" spans="1:17" ht="26.1" customHeight="1" x14ac:dyDescent="0.3">
      <c r="A228" s="12"/>
      <c r="B228" s="1"/>
      <c r="C228" s="35"/>
      <c r="D228" s="35"/>
    </row>
    <row r="229" spans="1:17" s="1" customFormat="1" ht="15.6" x14ac:dyDescent="0.3">
      <c r="A229" s="14" t="s">
        <v>360</v>
      </c>
      <c r="B229" s="2"/>
      <c r="C229" s="36"/>
      <c r="D229" s="36"/>
      <c r="E229" s="48"/>
      <c r="F229" s="2"/>
      <c r="G229" s="2"/>
      <c r="H229" s="83"/>
      <c r="I229" s="83"/>
      <c r="J229" s="83"/>
      <c r="K229" s="83"/>
      <c r="L229" s="83"/>
      <c r="M229" s="83"/>
      <c r="N229" s="83"/>
      <c r="O229" s="83"/>
      <c r="P229" s="930"/>
      <c r="Q229" s="158"/>
    </row>
    <row r="230" spans="1:17" s="19" customFormat="1" x14ac:dyDescent="0.3">
      <c r="A230" s="27"/>
      <c r="B230" s="8"/>
      <c r="C230" s="42"/>
      <c r="D230" s="42"/>
      <c r="E230" s="54"/>
      <c r="F230" s="8"/>
      <c r="G230" s="57" t="s">
        <v>361</v>
      </c>
      <c r="H230" s="77">
        <f>'BUDGET DETAIL'!S617</f>
        <v>1647.42</v>
      </c>
      <c r="I230" s="77">
        <f>'BUDGET DETAIL'!AF617</f>
        <v>1530.47</v>
      </c>
      <c r="J230" s="77">
        <f>'BUDGET DETAIL'!AS617</f>
        <v>1571.5</v>
      </c>
      <c r="K230" s="77">
        <f>'BUDGET DETAIL'!BF617</f>
        <v>1629.43</v>
      </c>
      <c r="L230" s="77">
        <f>'BUDGET DETAIL'!BR617</f>
        <v>1650</v>
      </c>
      <c r="M230" s="77">
        <f>'BUDGET DETAIL'!BW617</f>
        <v>1650</v>
      </c>
      <c r="N230" s="77">
        <f>'BUDGET DETAIL'!BZ617</f>
        <v>1650</v>
      </c>
      <c r="O230" s="77">
        <f>'BUDGET DETAIL'!CA617</f>
        <v>1650</v>
      </c>
      <c r="P230" s="925">
        <f>(O230-L230)/L230</f>
        <v>0</v>
      </c>
      <c r="Q230" s="159"/>
    </row>
    <row r="231" spans="1:17" ht="9.9" customHeight="1" x14ac:dyDescent="0.3">
      <c r="H231" s="31"/>
      <c r="I231" s="31"/>
      <c r="J231" s="31"/>
      <c r="K231" s="31"/>
      <c r="L231" s="31"/>
      <c r="M231" s="31"/>
      <c r="N231" s="31"/>
      <c r="O231" s="31"/>
    </row>
    <row r="232" spans="1:17" s="1" customFormat="1" x14ac:dyDescent="0.3">
      <c r="A232" s="20"/>
      <c r="B232" s="5"/>
      <c r="C232" s="39"/>
      <c r="D232" s="39"/>
      <c r="E232" s="51"/>
      <c r="F232" s="5"/>
      <c r="G232" s="21" t="s">
        <v>362</v>
      </c>
      <c r="H232" s="81">
        <f t="shared" ref="H232:O232" si="61">H230</f>
        <v>1647.42</v>
      </c>
      <c r="I232" s="81">
        <f t="shared" si="61"/>
        <v>1530.47</v>
      </c>
      <c r="J232" s="81">
        <f t="shared" si="61"/>
        <v>1571.5</v>
      </c>
      <c r="K232" s="81">
        <f t="shared" si="61"/>
        <v>1629.43</v>
      </c>
      <c r="L232" s="81">
        <f t="shared" si="61"/>
        <v>1650</v>
      </c>
      <c r="M232" s="81">
        <f t="shared" si="61"/>
        <v>1650</v>
      </c>
      <c r="N232" s="81">
        <f t="shared" si="61"/>
        <v>1650</v>
      </c>
      <c r="O232" s="81">
        <f t="shared" si="61"/>
        <v>1650</v>
      </c>
      <c r="P232" s="926">
        <f>(O232-L232)/L232</f>
        <v>0</v>
      </c>
      <c r="Q232" s="158"/>
    </row>
    <row r="233" spans="1:17" ht="26.1" customHeight="1" x14ac:dyDescent="0.3">
      <c r="A233" s="12"/>
      <c r="B233" s="1"/>
      <c r="C233" s="35"/>
      <c r="D233" s="35"/>
    </row>
    <row r="234" spans="1:17" s="1" customFormat="1" ht="15.6" x14ac:dyDescent="0.3">
      <c r="A234" s="14" t="s">
        <v>1137</v>
      </c>
      <c r="B234" s="2"/>
      <c r="C234" s="36"/>
      <c r="D234" s="36"/>
      <c r="E234" s="48"/>
      <c r="F234" s="2"/>
      <c r="G234" s="82"/>
      <c r="H234" s="83"/>
      <c r="I234" s="83"/>
      <c r="J234" s="83"/>
      <c r="K234" s="83"/>
      <c r="L234" s="83"/>
      <c r="M234" s="83"/>
      <c r="N234" s="83"/>
      <c r="O234" s="83"/>
      <c r="P234" s="924"/>
      <c r="Q234" s="157"/>
    </row>
    <row r="235" spans="1:17" x14ac:dyDescent="0.3">
      <c r="A235" s="12"/>
      <c r="G235" s="75" t="s">
        <v>369</v>
      </c>
      <c r="H235" s="31">
        <f>'BUDGET DETAIL'!S624</f>
        <v>84097.2</v>
      </c>
      <c r="I235" s="31">
        <f>'BUDGET DETAIL'!AF624</f>
        <v>88049.2</v>
      </c>
      <c r="J235" s="31">
        <f>'BUDGET DETAIL'!AS624</f>
        <v>92884.08</v>
      </c>
      <c r="K235" s="31">
        <f>'BUDGET DETAIL'!BF624</f>
        <v>52526.28</v>
      </c>
      <c r="L235" s="31">
        <f>'BUDGET DETAIL'!BR624</f>
        <v>43439</v>
      </c>
      <c r="M235" s="31">
        <f>'BUDGET DETAIL'!BW624</f>
        <v>44708</v>
      </c>
      <c r="N235" s="31">
        <f>'BUDGET DETAIL'!BZ624</f>
        <v>44708</v>
      </c>
      <c r="O235" s="31">
        <f>'BUDGET DETAIL'!CA624</f>
        <v>44708</v>
      </c>
      <c r="P235" s="397">
        <f>(O235-L235)/L235</f>
        <v>2.9213379681852714E-2</v>
      </c>
    </row>
    <row r="236" spans="1:17" x14ac:dyDescent="0.3">
      <c r="A236" s="12"/>
      <c r="G236" s="75" t="s">
        <v>11</v>
      </c>
      <c r="H236" s="31">
        <f>'BUDGET DETAIL'!S634</f>
        <v>150334.73000000001</v>
      </c>
      <c r="I236" s="31">
        <f>'BUDGET DETAIL'!AF634</f>
        <v>150529.74</v>
      </c>
      <c r="J236" s="31">
        <f>'BUDGET DETAIL'!AS634</f>
        <v>162183.78999999998</v>
      </c>
      <c r="K236" s="31">
        <f>'BUDGET DETAIL'!BF634</f>
        <v>170358.75000000003</v>
      </c>
      <c r="L236" s="31">
        <f>'BUDGET DETAIL'!BR634</f>
        <v>182602</v>
      </c>
      <c r="M236" s="31">
        <f>'BUDGET DETAIL'!BW634</f>
        <v>190277</v>
      </c>
      <c r="N236" s="31">
        <f>'BUDGET DETAIL'!BZ634</f>
        <v>190277</v>
      </c>
      <c r="O236" s="31">
        <f>'BUDGET DETAIL'!CA634</f>
        <v>190277</v>
      </c>
      <c r="P236" s="397">
        <f>(O236-L236)/L236</f>
        <v>4.2031303052540499E-2</v>
      </c>
    </row>
    <row r="237" spans="1:17" s="19" customFormat="1" x14ac:dyDescent="0.3">
      <c r="A237" s="27"/>
      <c r="B237" s="8"/>
      <c r="C237" s="42"/>
      <c r="D237" s="42"/>
      <c r="E237" s="54"/>
      <c r="F237" s="8"/>
      <c r="G237" s="109" t="s">
        <v>1154</v>
      </c>
      <c r="H237" s="77">
        <f t="shared" ref="H237:O237" si="62">H235+H236</f>
        <v>234431.93</v>
      </c>
      <c r="I237" s="77">
        <f t="shared" si="62"/>
        <v>238578.94</v>
      </c>
      <c r="J237" s="77">
        <f t="shared" si="62"/>
        <v>255067.87</v>
      </c>
      <c r="K237" s="77">
        <f t="shared" si="62"/>
        <v>222885.03000000003</v>
      </c>
      <c r="L237" s="77">
        <f t="shared" si="62"/>
        <v>226041</v>
      </c>
      <c r="M237" s="77">
        <f t="shared" si="62"/>
        <v>234985</v>
      </c>
      <c r="N237" s="77">
        <f t="shared" si="62"/>
        <v>234985</v>
      </c>
      <c r="O237" s="77">
        <f t="shared" si="62"/>
        <v>234985</v>
      </c>
      <c r="P237" s="925">
        <f>(O237-L237)/L237</f>
        <v>3.956804296565667E-2</v>
      </c>
      <c r="Q237" s="159"/>
    </row>
    <row r="238" spans="1:17" x14ac:dyDescent="0.3">
      <c r="G238" s="7"/>
      <c r="H238" s="31"/>
      <c r="I238" s="31"/>
      <c r="J238" s="31"/>
      <c r="K238" s="31"/>
      <c r="L238" s="31"/>
      <c r="M238" s="31"/>
      <c r="N238" s="31"/>
      <c r="O238" s="31"/>
    </row>
    <row r="239" spans="1:17" s="19" customFormat="1" x14ac:dyDescent="0.3">
      <c r="A239" s="27"/>
      <c r="B239" s="8"/>
      <c r="C239" s="42"/>
      <c r="D239" s="42"/>
      <c r="E239" s="54"/>
      <c r="F239" s="8"/>
      <c r="G239" s="109" t="s">
        <v>1155</v>
      </c>
      <c r="H239" s="77">
        <f>'BUDGET DETAIL'!S667</f>
        <v>50488.900000000009</v>
      </c>
      <c r="I239" s="77">
        <f>'BUDGET DETAIL'!AF667</f>
        <v>45846.159999999996</v>
      </c>
      <c r="J239" s="77">
        <f>'BUDGET DETAIL'!AS667</f>
        <v>51062.310000000005</v>
      </c>
      <c r="K239" s="77">
        <f>'BUDGET DETAIL'!BF667</f>
        <v>42130.340000000004</v>
      </c>
      <c r="L239" s="77">
        <f>'BUDGET DETAIL'!BR667</f>
        <v>54170</v>
      </c>
      <c r="M239" s="77">
        <f>'BUDGET DETAIL'!BW667</f>
        <v>53670</v>
      </c>
      <c r="N239" s="77">
        <f>'BUDGET DETAIL'!BZ667</f>
        <v>53670</v>
      </c>
      <c r="O239" s="77">
        <f>'BUDGET DETAIL'!CA667</f>
        <v>103670</v>
      </c>
      <c r="P239" s="925">
        <f>(O239-L239)/L239</f>
        <v>0.91378992062026954</v>
      </c>
      <c r="Q239" s="159"/>
    </row>
    <row r="240" spans="1:17" ht="9.9" customHeight="1" x14ac:dyDescent="0.3">
      <c r="G240" s="7"/>
      <c r="H240" s="31"/>
      <c r="I240" s="31"/>
      <c r="J240" s="31"/>
      <c r="K240" s="31"/>
      <c r="L240" s="31"/>
      <c r="M240" s="31"/>
      <c r="N240" s="31"/>
      <c r="O240" s="31"/>
    </row>
    <row r="241" spans="1:17" s="1" customFormat="1" x14ac:dyDescent="0.3">
      <c r="A241" s="20"/>
      <c r="B241" s="5"/>
      <c r="C241" s="39"/>
      <c r="D241" s="39"/>
      <c r="E241" s="51"/>
      <c r="F241" s="5"/>
      <c r="G241" s="80" t="s">
        <v>1156</v>
      </c>
      <c r="H241" s="81">
        <f t="shared" ref="H241:O241" si="63">H237+H239</f>
        <v>284920.83</v>
      </c>
      <c r="I241" s="81">
        <f t="shared" si="63"/>
        <v>284425.09999999998</v>
      </c>
      <c r="J241" s="81">
        <f t="shared" si="63"/>
        <v>306130.18</v>
      </c>
      <c r="K241" s="81">
        <f t="shared" si="63"/>
        <v>265015.37000000005</v>
      </c>
      <c r="L241" s="81">
        <f t="shared" si="63"/>
        <v>280211</v>
      </c>
      <c r="M241" s="81">
        <f t="shared" si="63"/>
        <v>288655</v>
      </c>
      <c r="N241" s="81">
        <f t="shared" si="63"/>
        <v>288655</v>
      </c>
      <c r="O241" s="81">
        <f t="shared" si="63"/>
        <v>338655</v>
      </c>
      <c r="P241" s="926">
        <f>(O241-L241)/L241</f>
        <v>0.20857139798223481</v>
      </c>
      <c r="Q241" s="158"/>
    </row>
    <row r="242" spans="1:17" ht="26.1" customHeight="1" x14ac:dyDescent="0.3">
      <c r="A242" s="12"/>
      <c r="B242" s="1"/>
      <c r="C242" s="35"/>
      <c r="D242" s="35"/>
    </row>
    <row r="243" spans="1:17" s="1" customFormat="1" ht="15.6" x14ac:dyDescent="0.3">
      <c r="A243" s="14" t="s">
        <v>698</v>
      </c>
      <c r="B243" s="2"/>
      <c r="C243" s="36"/>
      <c r="D243" s="36"/>
      <c r="E243" s="48"/>
      <c r="F243" s="2"/>
      <c r="G243" s="2"/>
      <c r="H243" s="83"/>
      <c r="I243" s="83"/>
      <c r="J243" s="83"/>
      <c r="K243" s="83"/>
      <c r="L243" s="83"/>
      <c r="M243" s="83"/>
      <c r="N243" s="83"/>
      <c r="O243" s="83"/>
      <c r="P243" s="930"/>
      <c r="Q243" s="158"/>
    </row>
    <row r="244" spans="1:17" s="19" customFormat="1" x14ac:dyDescent="0.3">
      <c r="A244" s="27"/>
      <c r="B244" s="8"/>
      <c r="C244" s="42"/>
      <c r="D244" s="42"/>
      <c r="E244" s="54"/>
      <c r="F244" s="8"/>
      <c r="G244" s="57" t="s">
        <v>699</v>
      </c>
      <c r="H244" s="77">
        <f>'BUDGET DETAIL'!S676</f>
        <v>0</v>
      </c>
      <c r="I244" s="77">
        <f>'BUDGET DETAIL'!AF676</f>
        <v>24451.46</v>
      </c>
      <c r="J244" s="77">
        <f>'BUDGET DETAIL'!AS676</f>
        <v>34050.589999999997</v>
      </c>
      <c r="K244" s="77">
        <f>'BUDGET DETAIL'!BF676</f>
        <v>39481.71</v>
      </c>
      <c r="L244" s="77">
        <f>'BUDGET DETAIL'!BR676</f>
        <v>42300</v>
      </c>
      <c r="M244" s="77">
        <f>'BUDGET DETAIL'!BW676</f>
        <v>29600</v>
      </c>
      <c r="N244" s="77">
        <f>'BUDGET DETAIL'!BZ676</f>
        <v>29600</v>
      </c>
      <c r="O244" s="77">
        <f>'BUDGET DETAIL'!CA676</f>
        <v>29600</v>
      </c>
      <c r="P244" s="925">
        <f>(O244-L244)/L244</f>
        <v>-0.30023640661938533</v>
      </c>
      <c r="Q244" s="159"/>
    </row>
    <row r="245" spans="1:17" ht="9.9" customHeight="1" x14ac:dyDescent="0.3">
      <c r="H245" s="31"/>
      <c r="I245" s="31"/>
      <c r="J245" s="31"/>
      <c r="K245" s="31"/>
      <c r="L245" s="31"/>
      <c r="M245" s="31"/>
      <c r="N245" s="31"/>
      <c r="O245" s="31"/>
    </row>
    <row r="246" spans="1:17" s="1" customFormat="1" x14ac:dyDescent="0.3">
      <c r="A246" s="20"/>
      <c r="B246" s="5"/>
      <c r="C246" s="39"/>
      <c r="D246" s="39"/>
      <c r="E246" s="51"/>
      <c r="F246" s="5"/>
      <c r="G246" s="21" t="s">
        <v>700</v>
      </c>
      <c r="H246" s="81">
        <f t="shared" ref="H246" si="64">H244</f>
        <v>0</v>
      </c>
      <c r="I246" s="81">
        <f t="shared" ref="I246:J246" si="65">I244</f>
        <v>24451.46</v>
      </c>
      <c r="J246" s="81">
        <f t="shared" si="65"/>
        <v>34050.589999999997</v>
      </c>
      <c r="K246" s="81">
        <f t="shared" ref="K246:L246" si="66">K244</f>
        <v>39481.71</v>
      </c>
      <c r="L246" s="81">
        <f t="shared" si="66"/>
        <v>42300</v>
      </c>
      <c r="M246" s="81">
        <f t="shared" ref="M246:O246" si="67">M244</f>
        <v>29600</v>
      </c>
      <c r="N246" s="81">
        <f t="shared" si="67"/>
        <v>29600</v>
      </c>
      <c r="O246" s="81">
        <f t="shared" si="67"/>
        <v>29600</v>
      </c>
      <c r="P246" s="926">
        <f>(O246-L246)/L246</f>
        <v>-0.30023640661938533</v>
      </c>
      <c r="Q246" s="158"/>
    </row>
    <row r="247" spans="1:17" ht="21.9" customHeight="1" x14ac:dyDescent="0.3">
      <c r="A247" s="12"/>
      <c r="B247" s="1"/>
      <c r="C247" s="35"/>
      <c r="D247" s="35"/>
    </row>
    <row r="248" spans="1:17" s="1" customFormat="1" ht="20.100000000000001" customHeight="1" x14ac:dyDescent="0.3">
      <c r="A248" s="58" t="s">
        <v>340</v>
      </c>
      <c r="B248" s="59"/>
      <c r="C248" s="60"/>
      <c r="D248" s="60"/>
      <c r="E248" s="61"/>
      <c r="F248" s="59"/>
      <c r="G248" s="59"/>
      <c r="H248" s="62">
        <f t="shared" ref="H248:O248" si="68">H222+H217+H210+H227+H232+H241+H199+H246</f>
        <v>1657170.59</v>
      </c>
      <c r="I248" s="62">
        <f t="shared" si="68"/>
        <v>1620621.73</v>
      </c>
      <c r="J248" s="62">
        <f t="shared" si="68"/>
        <v>1580816.6899999997</v>
      </c>
      <c r="K248" s="62">
        <f t="shared" si="68"/>
        <v>1572733.8599999999</v>
      </c>
      <c r="L248" s="62">
        <f t="shared" si="68"/>
        <v>1659650</v>
      </c>
      <c r="M248" s="62">
        <f t="shared" si="68"/>
        <v>1668252</v>
      </c>
      <c r="N248" s="62">
        <f t="shared" si="68"/>
        <v>1668252</v>
      </c>
      <c r="O248" s="62">
        <f t="shared" si="68"/>
        <v>1718252</v>
      </c>
      <c r="P248" s="927">
        <f>(O248-L248)/L248</f>
        <v>3.530985448739192E-2</v>
      </c>
      <c r="Q248" s="158"/>
    </row>
    <row r="249" spans="1:17" ht="20.100000000000001" customHeight="1" x14ac:dyDescent="0.3">
      <c r="A249" s="12"/>
      <c r="B249" s="1"/>
      <c r="C249" s="35"/>
      <c r="D249" s="35"/>
    </row>
    <row r="250" spans="1:17" s="1" customFormat="1" ht="20.100000000000001" customHeight="1" x14ac:dyDescent="0.3">
      <c r="A250" s="63" t="s">
        <v>341</v>
      </c>
      <c r="B250" s="59"/>
      <c r="C250" s="60"/>
      <c r="D250" s="60"/>
      <c r="E250" s="61"/>
      <c r="F250" s="59"/>
      <c r="G250" s="59"/>
      <c r="H250" s="62"/>
      <c r="I250" s="62"/>
      <c r="J250" s="62"/>
      <c r="K250" s="62"/>
      <c r="L250" s="62"/>
      <c r="M250" s="62"/>
      <c r="N250" s="62"/>
      <c r="O250" s="62"/>
      <c r="P250" s="923"/>
      <c r="Q250" s="158"/>
    </row>
    <row r="251" spans="1:17" s="1" customFormat="1" ht="15.6" x14ac:dyDescent="0.3">
      <c r="A251" s="14" t="s">
        <v>192</v>
      </c>
      <c r="B251" s="2"/>
      <c r="C251" s="36"/>
      <c r="D251" s="36"/>
      <c r="E251" s="48"/>
      <c r="F251" s="2"/>
      <c r="G251" s="2"/>
      <c r="H251" s="15"/>
      <c r="I251" s="15"/>
      <c r="J251" s="15"/>
      <c r="K251" s="15"/>
      <c r="L251" s="15"/>
      <c r="M251" s="15"/>
      <c r="N251" s="15"/>
      <c r="O251" s="15"/>
      <c r="P251" s="924"/>
      <c r="Q251" s="158"/>
    </row>
    <row r="252" spans="1:17" x14ac:dyDescent="0.3">
      <c r="A252" s="12"/>
      <c r="G252" s="75" t="s">
        <v>369</v>
      </c>
      <c r="H252" s="31">
        <f>'BUDGET DETAIL'!S686</f>
        <v>75533.100000000006</v>
      </c>
      <c r="I252" s="31">
        <f>'BUDGET DETAIL'!AF686</f>
        <v>61309.919999999998</v>
      </c>
      <c r="J252" s="31">
        <f>'BUDGET DETAIL'!AS686</f>
        <v>61300.94</v>
      </c>
      <c r="K252" s="31">
        <f>'BUDGET DETAIL'!BF686</f>
        <v>68027.039999999994</v>
      </c>
      <c r="L252" s="31">
        <f>'BUDGET DETAIL'!BR686</f>
        <v>69385</v>
      </c>
      <c r="M252" s="31">
        <f>'BUDGET DETAIL'!BW686</f>
        <v>70763</v>
      </c>
      <c r="N252" s="31">
        <f>'BUDGET DETAIL'!BZ686</f>
        <v>70763</v>
      </c>
      <c r="O252" s="31">
        <f>'BUDGET DETAIL'!CA686</f>
        <v>70763</v>
      </c>
      <c r="P252" s="397">
        <f>(O252-L252)/L252</f>
        <v>1.9860200331483752E-2</v>
      </c>
    </row>
    <row r="253" spans="1:17" x14ac:dyDescent="0.3">
      <c r="A253" s="12"/>
      <c r="G253" s="75" t="s">
        <v>11</v>
      </c>
      <c r="H253" s="31">
        <f>'BUDGET DETAIL'!S691</f>
        <v>17757.87</v>
      </c>
      <c r="I253" s="31">
        <f>'BUDGET DETAIL'!AF691</f>
        <v>23549.63</v>
      </c>
      <c r="J253" s="31">
        <f>'BUDGET DETAIL'!AS691</f>
        <v>25170.12</v>
      </c>
      <c r="K253" s="31">
        <f>'BUDGET DETAIL'!BF691</f>
        <v>25031.56</v>
      </c>
      <c r="L253" s="31">
        <f>'BUDGET DETAIL'!BR691</f>
        <v>29268</v>
      </c>
      <c r="M253" s="31">
        <f>'BUDGET DETAIL'!BW691</f>
        <v>29743</v>
      </c>
      <c r="N253" s="31">
        <f>'BUDGET DETAIL'!BZ691</f>
        <v>29743</v>
      </c>
      <c r="O253" s="31">
        <f>'BUDGET DETAIL'!CA691</f>
        <v>29743</v>
      </c>
      <c r="P253" s="397">
        <f>(O253-L253)/L253</f>
        <v>1.6229328959956265E-2</v>
      </c>
    </row>
    <row r="254" spans="1:17" s="19" customFormat="1" x14ac:dyDescent="0.3">
      <c r="A254" s="27"/>
      <c r="B254" s="8"/>
      <c r="C254" s="42"/>
      <c r="D254" s="42"/>
      <c r="E254" s="54"/>
      <c r="F254" s="8"/>
      <c r="G254" s="57" t="s">
        <v>193</v>
      </c>
      <c r="H254" s="77">
        <f t="shared" ref="H254:O254" si="69">H252+H253</f>
        <v>93290.97</v>
      </c>
      <c r="I254" s="77">
        <f t="shared" si="69"/>
        <v>84859.55</v>
      </c>
      <c r="J254" s="77">
        <f t="shared" si="69"/>
        <v>86471.06</v>
      </c>
      <c r="K254" s="77">
        <f t="shared" si="69"/>
        <v>93058.599999999991</v>
      </c>
      <c r="L254" s="77">
        <f t="shared" si="69"/>
        <v>98653</v>
      </c>
      <c r="M254" s="77">
        <f t="shared" si="69"/>
        <v>100506</v>
      </c>
      <c r="N254" s="77">
        <f t="shared" si="69"/>
        <v>100506</v>
      </c>
      <c r="O254" s="77">
        <f t="shared" si="69"/>
        <v>100506</v>
      </c>
      <c r="P254" s="925">
        <f>(O254-L254)/L254</f>
        <v>1.8783007105713966E-2</v>
      </c>
      <c r="Q254" s="159"/>
    </row>
    <row r="255" spans="1:17" x14ac:dyDescent="0.3">
      <c r="H255" s="31"/>
      <c r="I255" s="31"/>
      <c r="J255" s="31"/>
      <c r="K255" s="31"/>
      <c r="L255" s="31"/>
      <c r="M255" s="31"/>
      <c r="N255" s="31"/>
      <c r="O255" s="31"/>
    </row>
    <row r="256" spans="1:17" s="19" customFormat="1" x14ac:dyDescent="0.3">
      <c r="A256" s="27"/>
      <c r="B256" s="8"/>
      <c r="C256" s="42"/>
      <c r="D256" s="42"/>
      <c r="E256" s="54"/>
      <c r="F256" s="8"/>
      <c r="G256" s="57" t="s">
        <v>194</v>
      </c>
      <c r="H256" s="77">
        <f>'BUDGET DETAIL'!S708</f>
        <v>19666.820000000003</v>
      </c>
      <c r="I256" s="77">
        <f>'BUDGET DETAIL'!AF708</f>
        <v>20617.330000000002</v>
      </c>
      <c r="J256" s="77">
        <f>'BUDGET DETAIL'!AS708</f>
        <v>22943.230000000003</v>
      </c>
      <c r="K256" s="77">
        <f>'BUDGET DETAIL'!BF708</f>
        <v>23215.06</v>
      </c>
      <c r="L256" s="77">
        <f>'BUDGET DETAIL'!BR708</f>
        <v>36076</v>
      </c>
      <c r="M256" s="77">
        <f>'BUDGET DETAIL'!BW708</f>
        <v>36576</v>
      </c>
      <c r="N256" s="77">
        <f>'BUDGET DETAIL'!BZ708</f>
        <v>36576</v>
      </c>
      <c r="O256" s="77">
        <f>'BUDGET DETAIL'!CA708</f>
        <v>36576</v>
      </c>
      <c r="P256" s="925">
        <f>(O256-L256)/L256</f>
        <v>1.3859629670695199E-2</v>
      </c>
      <c r="Q256" s="159"/>
    </row>
    <row r="257" spans="1:17" ht="9.9" customHeight="1" x14ac:dyDescent="0.3">
      <c r="H257" s="31"/>
      <c r="I257" s="31"/>
      <c r="J257" s="31"/>
      <c r="K257" s="31"/>
      <c r="L257" s="31"/>
      <c r="M257" s="31"/>
      <c r="N257" s="31"/>
      <c r="O257" s="31"/>
    </row>
    <row r="258" spans="1:17" s="1" customFormat="1" x14ac:dyDescent="0.3">
      <c r="A258" s="20"/>
      <c r="B258" s="5"/>
      <c r="C258" s="39"/>
      <c r="D258" s="39"/>
      <c r="E258" s="51"/>
      <c r="F258" s="5"/>
      <c r="G258" s="21" t="s">
        <v>195</v>
      </c>
      <c r="H258" s="81">
        <f t="shared" ref="H258:O258" si="70">H254+H256</f>
        <v>112957.79000000001</v>
      </c>
      <c r="I258" s="81">
        <f t="shared" si="70"/>
        <v>105476.88</v>
      </c>
      <c r="J258" s="81">
        <f t="shared" si="70"/>
        <v>109414.29000000001</v>
      </c>
      <c r="K258" s="81">
        <f t="shared" si="70"/>
        <v>116273.65999999999</v>
      </c>
      <c r="L258" s="81">
        <f t="shared" si="70"/>
        <v>134729</v>
      </c>
      <c r="M258" s="81">
        <f t="shared" si="70"/>
        <v>137082</v>
      </c>
      <c r="N258" s="81">
        <f t="shared" si="70"/>
        <v>137082</v>
      </c>
      <c r="O258" s="81">
        <f t="shared" si="70"/>
        <v>137082</v>
      </c>
      <c r="P258" s="926">
        <f>(O258-L258)/L258</f>
        <v>1.7464688374440544E-2</v>
      </c>
      <c r="Q258" s="158"/>
    </row>
    <row r="259" spans="1:17" ht="26.1" customHeight="1" x14ac:dyDescent="0.3">
      <c r="A259" s="12"/>
      <c r="B259" s="1"/>
      <c r="C259" s="35"/>
      <c r="D259" s="35"/>
    </row>
    <row r="260" spans="1:17" s="1" customFormat="1" ht="15.6" x14ac:dyDescent="0.3">
      <c r="A260" s="14" t="s">
        <v>199</v>
      </c>
      <c r="B260" s="2"/>
      <c r="C260" s="36"/>
      <c r="D260" s="36"/>
      <c r="E260" s="48"/>
      <c r="F260" s="2"/>
      <c r="G260" s="2"/>
      <c r="H260" s="83"/>
      <c r="I260" s="83"/>
      <c r="J260" s="83"/>
      <c r="K260" s="83"/>
      <c r="L260" s="83"/>
      <c r="M260" s="83"/>
      <c r="N260" s="83"/>
      <c r="O260" s="83"/>
      <c r="P260" s="924"/>
      <c r="Q260" s="158"/>
    </row>
    <row r="261" spans="1:17" x14ac:dyDescent="0.3">
      <c r="A261" s="12"/>
      <c r="G261" s="75" t="s">
        <v>369</v>
      </c>
      <c r="H261" s="31">
        <f>'BUDGET DETAIL'!S714</f>
        <v>61849.9</v>
      </c>
      <c r="I261" s="31">
        <f>'BUDGET DETAIL'!AF714</f>
        <v>64646.400000000001</v>
      </c>
      <c r="J261" s="31">
        <f>'BUDGET DETAIL'!AS714</f>
        <v>68245.759999999995</v>
      </c>
      <c r="K261" s="31">
        <f>'BUDGET DETAIL'!BF714</f>
        <v>58021.32</v>
      </c>
      <c r="L261" s="31">
        <f>'BUDGET DETAIL'!BR714</f>
        <v>69385</v>
      </c>
      <c r="M261" s="31">
        <f>'BUDGET DETAIL'!BW714</f>
        <v>70763</v>
      </c>
      <c r="N261" s="31">
        <f>'BUDGET DETAIL'!BZ714</f>
        <v>70763</v>
      </c>
      <c r="O261" s="31">
        <f>'BUDGET DETAIL'!CA714</f>
        <v>70763</v>
      </c>
      <c r="P261" s="397">
        <f>(O261-L261)/L261</f>
        <v>1.9860200331483752E-2</v>
      </c>
    </row>
    <row r="262" spans="1:17" x14ac:dyDescent="0.3">
      <c r="A262" s="12"/>
      <c r="G262" s="75" t="s">
        <v>11</v>
      </c>
      <c r="H262" s="31">
        <f>'BUDGET DETAIL'!S719</f>
        <v>46615.19</v>
      </c>
      <c r="I262" s="31">
        <f>'BUDGET DETAIL'!AF719</f>
        <v>53384.21</v>
      </c>
      <c r="J262" s="31">
        <f>'BUDGET DETAIL'!AS719</f>
        <v>51554.76</v>
      </c>
      <c r="K262" s="31">
        <f>'BUDGET DETAIL'!BF719</f>
        <v>43434.659999999996</v>
      </c>
      <c r="L262" s="31">
        <f>'BUDGET DETAIL'!BR719</f>
        <v>62895</v>
      </c>
      <c r="M262" s="31">
        <f>'BUDGET DETAIL'!BW719</f>
        <v>64076</v>
      </c>
      <c r="N262" s="31">
        <f>'BUDGET DETAIL'!BZ719</f>
        <v>64076</v>
      </c>
      <c r="O262" s="31">
        <f>'BUDGET DETAIL'!CA719</f>
        <v>64076</v>
      </c>
      <c r="P262" s="397">
        <f>(O262-L262)/L262</f>
        <v>1.8777327291517609E-2</v>
      </c>
    </row>
    <row r="263" spans="1:17" s="19" customFormat="1" x14ac:dyDescent="0.3">
      <c r="A263" s="27"/>
      <c r="B263" s="8"/>
      <c r="C263" s="42"/>
      <c r="D263" s="42"/>
      <c r="E263" s="54"/>
      <c r="F263" s="8"/>
      <c r="G263" s="57" t="s">
        <v>200</v>
      </c>
      <c r="H263" s="77">
        <f t="shared" ref="H263:O263" si="71">H261+H262</f>
        <v>108465.09</v>
      </c>
      <c r="I263" s="77">
        <f t="shared" si="71"/>
        <v>118030.61</v>
      </c>
      <c r="J263" s="77">
        <f t="shared" si="71"/>
        <v>119800.51999999999</v>
      </c>
      <c r="K263" s="77">
        <f t="shared" si="71"/>
        <v>101455.98</v>
      </c>
      <c r="L263" s="77">
        <f t="shared" si="71"/>
        <v>132280</v>
      </c>
      <c r="M263" s="77">
        <f t="shared" si="71"/>
        <v>134839</v>
      </c>
      <c r="N263" s="77">
        <f t="shared" si="71"/>
        <v>134839</v>
      </c>
      <c r="O263" s="77">
        <f t="shared" si="71"/>
        <v>134839</v>
      </c>
      <c r="P263" s="925">
        <f>(O263-L263)/L263</f>
        <v>1.9345328091926219E-2</v>
      </c>
      <c r="Q263" s="159"/>
    </row>
    <row r="264" spans="1:17" x14ac:dyDescent="0.3">
      <c r="H264" s="31"/>
      <c r="I264" s="31"/>
      <c r="J264" s="31"/>
      <c r="K264" s="31"/>
      <c r="L264" s="31"/>
      <c r="M264" s="31"/>
      <c r="N264" s="31"/>
      <c r="O264" s="31"/>
    </row>
    <row r="265" spans="1:17" s="19" customFormat="1" x14ac:dyDescent="0.3">
      <c r="A265" s="27"/>
      <c r="B265" s="8"/>
      <c r="C265" s="42"/>
      <c r="D265" s="42"/>
      <c r="E265" s="54"/>
      <c r="F265" s="8"/>
      <c r="G265" s="57" t="s">
        <v>201</v>
      </c>
      <c r="H265" s="28">
        <f>'BUDGET DETAIL'!S732</f>
        <v>4687.01</v>
      </c>
      <c r="I265" s="28">
        <f>'BUDGET DETAIL'!AF732</f>
        <v>4054.04</v>
      </c>
      <c r="J265" s="28">
        <f>'BUDGET DETAIL'!AS732</f>
        <v>5730.38</v>
      </c>
      <c r="K265" s="28">
        <f>'BUDGET DETAIL'!BF732</f>
        <v>3307.59</v>
      </c>
      <c r="L265" s="28">
        <f>'BUDGET DETAIL'!BR732</f>
        <v>5561</v>
      </c>
      <c r="M265" s="28">
        <f>'BUDGET DETAIL'!BW732</f>
        <v>5561</v>
      </c>
      <c r="N265" s="28">
        <f>'BUDGET DETAIL'!BZ732</f>
        <v>5561</v>
      </c>
      <c r="O265" s="28">
        <f>'BUDGET DETAIL'!CA732</f>
        <v>5561</v>
      </c>
      <c r="P265" s="925">
        <f>(O265-L265)/L265</f>
        <v>0</v>
      </c>
      <c r="Q265" s="159"/>
    </row>
    <row r="266" spans="1:17" ht="9.9" customHeight="1" x14ac:dyDescent="0.3"/>
    <row r="267" spans="1:17" s="1" customFormat="1" x14ac:dyDescent="0.3">
      <c r="A267" s="20"/>
      <c r="B267" s="5"/>
      <c r="C267" s="39"/>
      <c r="D267" s="39"/>
      <c r="E267" s="51"/>
      <c r="F267" s="5"/>
      <c r="G267" s="21" t="s">
        <v>202</v>
      </c>
      <c r="H267" s="22">
        <f t="shared" ref="H267:O267" si="72">H263+H265</f>
        <v>113152.09999999999</v>
      </c>
      <c r="I267" s="22">
        <f t="shared" si="72"/>
        <v>122084.65</v>
      </c>
      <c r="J267" s="22">
        <f t="shared" si="72"/>
        <v>125530.9</v>
      </c>
      <c r="K267" s="22">
        <f t="shared" si="72"/>
        <v>104763.56999999999</v>
      </c>
      <c r="L267" s="22">
        <f t="shared" si="72"/>
        <v>137841</v>
      </c>
      <c r="M267" s="22">
        <f t="shared" si="72"/>
        <v>140400</v>
      </c>
      <c r="N267" s="22">
        <f t="shared" si="72"/>
        <v>140400</v>
      </c>
      <c r="O267" s="22">
        <f t="shared" si="72"/>
        <v>140400</v>
      </c>
      <c r="P267" s="926">
        <f>(O267-L267)/L267</f>
        <v>1.8564868217729121E-2</v>
      </c>
      <c r="Q267" s="158"/>
    </row>
    <row r="268" spans="1:17" ht="26.1" customHeight="1" x14ac:dyDescent="0.3">
      <c r="A268" s="12"/>
      <c r="B268" s="1"/>
      <c r="C268" s="35"/>
      <c r="D268" s="35"/>
    </row>
    <row r="269" spans="1:17" s="1" customFormat="1" ht="15.6" x14ac:dyDescent="0.3">
      <c r="A269" s="14" t="s">
        <v>213</v>
      </c>
      <c r="B269" s="2"/>
      <c r="C269" s="36"/>
      <c r="D269" s="36"/>
      <c r="E269" s="48"/>
      <c r="F269" s="2"/>
      <c r="G269" s="2"/>
      <c r="H269" s="15"/>
      <c r="I269" s="15"/>
      <c r="J269" s="15"/>
      <c r="K269" s="15"/>
      <c r="L269" s="15"/>
      <c r="M269" s="15"/>
      <c r="N269" s="15"/>
      <c r="O269" s="15"/>
      <c r="P269" s="924"/>
      <c r="Q269" s="158"/>
    </row>
    <row r="270" spans="1:17" s="19" customFormat="1" x14ac:dyDescent="0.3">
      <c r="A270" s="27"/>
      <c r="B270" s="8"/>
      <c r="C270" s="42"/>
      <c r="D270" s="42"/>
      <c r="E270" s="54"/>
      <c r="F270" s="8"/>
      <c r="G270" s="57" t="s">
        <v>212</v>
      </c>
      <c r="H270" s="28">
        <f>'BUDGET DETAIL'!S744</f>
        <v>12688.64</v>
      </c>
      <c r="I270" s="28">
        <f>'BUDGET DETAIL'!AF744</f>
        <v>15062.109999999999</v>
      </c>
      <c r="J270" s="28">
        <f>'BUDGET DETAIL'!AS744</f>
        <v>12000.5</v>
      </c>
      <c r="K270" s="28">
        <f>'BUDGET DETAIL'!BF744</f>
        <v>12003.31</v>
      </c>
      <c r="L270" s="28">
        <f>'BUDGET DETAIL'!BR744</f>
        <v>20960</v>
      </c>
      <c r="M270" s="28">
        <f>'BUDGET DETAIL'!BW744</f>
        <v>20960</v>
      </c>
      <c r="N270" s="28">
        <f>'BUDGET DETAIL'!BZ744</f>
        <v>20960</v>
      </c>
      <c r="O270" s="28">
        <f>'BUDGET DETAIL'!CA744</f>
        <v>20960</v>
      </c>
      <c r="P270" s="925">
        <f>(O270-L270)/L270</f>
        <v>0</v>
      </c>
      <c r="Q270" s="159"/>
    </row>
    <row r="271" spans="1:17" ht="9.9" customHeight="1" x14ac:dyDescent="0.3"/>
    <row r="272" spans="1:17" s="1" customFormat="1" x14ac:dyDescent="0.3">
      <c r="A272" s="20"/>
      <c r="B272" s="5"/>
      <c r="C272" s="39"/>
      <c r="D272" s="39"/>
      <c r="E272" s="51"/>
      <c r="F272" s="5"/>
      <c r="G272" s="21" t="s">
        <v>214</v>
      </c>
      <c r="H272" s="22">
        <f t="shared" ref="H272:O272" si="73">H270</f>
        <v>12688.64</v>
      </c>
      <c r="I272" s="22">
        <f t="shared" si="73"/>
        <v>15062.109999999999</v>
      </c>
      <c r="J272" s="22">
        <f t="shared" si="73"/>
        <v>12000.5</v>
      </c>
      <c r="K272" s="22">
        <f t="shared" si="73"/>
        <v>12003.31</v>
      </c>
      <c r="L272" s="22">
        <f t="shared" si="73"/>
        <v>20960</v>
      </c>
      <c r="M272" s="22">
        <f t="shared" si="73"/>
        <v>20960</v>
      </c>
      <c r="N272" s="22">
        <f t="shared" si="73"/>
        <v>20960</v>
      </c>
      <c r="O272" s="22">
        <f t="shared" si="73"/>
        <v>20960</v>
      </c>
      <c r="P272" s="926">
        <f>(O272-L272)/L272</f>
        <v>0</v>
      </c>
      <c r="Q272" s="158"/>
    </row>
    <row r="273" spans="1:17" ht="26.1" customHeight="1" x14ac:dyDescent="0.3">
      <c r="A273" s="12"/>
      <c r="B273" s="1"/>
      <c r="C273" s="35"/>
      <c r="D273" s="35"/>
    </row>
    <row r="274" spans="1:17" s="1" customFormat="1" ht="15.6" x14ac:dyDescent="0.3">
      <c r="A274" s="14" t="s">
        <v>215</v>
      </c>
      <c r="B274" s="2"/>
      <c r="C274" s="36"/>
      <c r="D274" s="36"/>
      <c r="E274" s="48"/>
      <c r="F274" s="2"/>
      <c r="G274" s="2"/>
      <c r="H274" s="15"/>
      <c r="I274" s="15"/>
      <c r="J274" s="15"/>
      <c r="K274" s="15"/>
      <c r="L274" s="15"/>
      <c r="M274" s="15"/>
      <c r="N274" s="15"/>
      <c r="O274" s="15"/>
      <c r="P274" s="924"/>
      <c r="Q274" s="158"/>
    </row>
    <row r="275" spans="1:17" s="19" customFormat="1" x14ac:dyDescent="0.3">
      <c r="A275" s="27"/>
      <c r="B275" s="8"/>
      <c r="C275" s="42"/>
      <c r="D275" s="42"/>
      <c r="E275" s="54"/>
      <c r="F275" s="8"/>
      <c r="G275" s="57" t="s">
        <v>216</v>
      </c>
      <c r="H275" s="28">
        <f>'BUDGET DETAIL'!S750</f>
        <v>996.28</v>
      </c>
      <c r="I275" s="28">
        <f>'BUDGET DETAIL'!AF750</f>
        <v>900.22</v>
      </c>
      <c r="J275" s="28">
        <f>'BUDGET DETAIL'!AS750</f>
        <v>970</v>
      </c>
      <c r="K275" s="28">
        <f>'BUDGET DETAIL'!BF750</f>
        <v>0</v>
      </c>
      <c r="L275" s="28">
        <f>'BUDGET DETAIL'!BR750</f>
        <v>1000</v>
      </c>
      <c r="M275" s="28">
        <f>'BUDGET DETAIL'!BW750</f>
        <v>1000</v>
      </c>
      <c r="N275" s="28">
        <f>'BUDGET DETAIL'!BZ750</f>
        <v>1000</v>
      </c>
      <c r="O275" s="28">
        <f>'BUDGET DETAIL'!CA750</f>
        <v>1000</v>
      </c>
      <c r="P275" s="925">
        <f>(O275-L275)/L275</f>
        <v>0</v>
      </c>
      <c r="Q275" s="159"/>
    </row>
    <row r="276" spans="1:17" ht="9.9" customHeight="1" x14ac:dyDescent="0.3"/>
    <row r="277" spans="1:17" s="1" customFormat="1" x14ac:dyDescent="0.3">
      <c r="A277" s="20"/>
      <c r="B277" s="5"/>
      <c r="C277" s="39"/>
      <c r="D277" s="39"/>
      <c r="E277" s="51"/>
      <c r="F277" s="5"/>
      <c r="G277" s="21" t="s">
        <v>217</v>
      </c>
      <c r="H277" s="22">
        <f t="shared" ref="H277:O277" si="74">H275</f>
        <v>996.28</v>
      </c>
      <c r="I277" s="22">
        <f t="shared" si="74"/>
        <v>900.22</v>
      </c>
      <c r="J277" s="22">
        <f t="shared" si="74"/>
        <v>970</v>
      </c>
      <c r="K277" s="22">
        <f t="shared" si="74"/>
        <v>0</v>
      </c>
      <c r="L277" s="22">
        <f t="shared" si="74"/>
        <v>1000</v>
      </c>
      <c r="M277" s="22">
        <f t="shared" si="74"/>
        <v>1000</v>
      </c>
      <c r="N277" s="22">
        <f t="shared" si="74"/>
        <v>1000</v>
      </c>
      <c r="O277" s="22">
        <f t="shared" si="74"/>
        <v>1000</v>
      </c>
      <c r="P277" s="926">
        <f>(O277-L277)/L277</f>
        <v>0</v>
      </c>
      <c r="Q277" s="158"/>
    </row>
    <row r="278" spans="1:17" ht="26.1" customHeight="1" x14ac:dyDescent="0.3">
      <c r="A278" s="12"/>
      <c r="B278" s="1"/>
      <c r="C278" s="35"/>
      <c r="D278" s="35"/>
    </row>
    <row r="279" spans="1:17" s="1" customFormat="1" ht="20.100000000000001" customHeight="1" x14ac:dyDescent="0.3">
      <c r="A279" s="58" t="s">
        <v>345</v>
      </c>
      <c r="B279" s="59"/>
      <c r="C279" s="60"/>
      <c r="D279" s="60"/>
      <c r="E279" s="61"/>
      <c r="F279" s="59"/>
      <c r="G279" s="59"/>
      <c r="H279" s="62">
        <f t="shared" ref="H279:O279" si="75">H277+H272+H267+H258</f>
        <v>239794.81</v>
      </c>
      <c r="I279" s="62">
        <f t="shared" si="75"/>
        <v>243523.86</v>
      </c>
      <c r="J279" s="62">
        <f t="shared" si="75"/>
        <v>247915.69</v>
      </c>
      <c r="K279" s="62">
        <f t="shared" si="75"/>
        <v>233040.53999999998</v>
      </c>
      <c r="L279" s="62">
        <f t="shared" si="75"/>
        <v>294530</v>
      </c>
      <c r="M279" s="62">
        <f t="shared" si="75"/>
        <v>299442</v>
      </c>
      <c r="N279" s="62">
        <f t="shared" si="75"/>
        <v>299442</v>
      </c>
      <c r="O279" s="62">
        <f t="shared" si="75"/>
        <v>299442</v>
      </c>
      <c r="P279" s="927">
        <f>(O279-L279)/L279</f>
        <v>1.6677418259600042E-2</v>
      </c>
      <c r="Q279" s="158"/>
    </row>
    <row r="280" spans="1:17" s="1" customFormat="1" ht="20.100000000000001" customHeight="1" x14ac:dyDescent="0.3">
      <c r="A280" s="33"/>
      <c r="B280" s="10"/>
      <c r="C280" s="44"/>
      <c r="D280" s="44"/>
      <c r="E280" s="55"/>
      <c r="F280" s="10"/>
      <c r="G280" s="10"/>
      <c r="H280" s="34"/>
      <c r="I280" s="34"/>
      <c r="J280" s="34"/>
      <c r="K280" s="34"/>
      <c r="L280" s="34"/>
      <c r="M280" s="34"/>
      <c r="N280" s="34"/>
      <c r="O280" s="34"/>
      <c r="P280" s="397"/>
      <c r="Q280" s="158"/>
    </row>
    <row r="281" spans="1:17" s="1" customFormat="1" ht="20.100000000000001" customHeight="1" x14ac:dyDescent="0.3">
      <c r="A281" s="33"/>
      <c r="B281" s="10"/>
      <c r="C281" s="44"/>
      <c r="D281" s="44"/>
      <c r="E281" s="55"/>
      <c r="F281" s="10"/>
      <c r="G281" s="10"/>
      <c r="H281" s="34"/>
      <c r="I281" s="34"/>
      <c r="J281" s="34"/>
      <c r="K281" s="34"/>
      <c r="L281" s="34"/>
      <c r="M281" s="34"/>
      <c r="N281" s="34"/>
      <c r="O281" s="34"/>
      <c r="P281" s="397"/>
      <c r="Q281" s="158"/>
    </row>
    <row r="282" spans="1:17" s="1" customFormat="1" ht="20.100000000000001" customHeight="1" x14ac:dyDescent="0.3">
      <c r="A282" s="63" t="s">
        <v>346</v>
      </c>
      <c r="B282" s="59"/>
      <c r="C282" s="60"/>
      <c r="D282" s="60"/>
      <c r="E282" s="61"/>
      <c r="F282" s="59"/>
      <c r="G282" s="59"/>
      <c r="H282" s="62"/>
      <c r="I282" s="62"/>
      <c r="J282" s="62"/>
      <c r="K282" s="62"/>
      <c r="L282" s="62"/>
      <c r="M282" s="62"/>
      <c r="N282" s="62"/>
      <c r="O282" s="62"/>
      <c r="P282" s="923"/>
      <c r="Q282" s="158"/>
    </row>
    <row r="283" spans="1:17" s="1" customFormat="1" ht="15.6" x14ac:dyDescent="0.3">
      <c r="A283" s="14" t="s">
        <v>218</v>
      </c>
      <c r="B283" s="2"/>
      <c r="C283" s="36"/>
      <c r="D283" s="36"/>
      <c r="E283" s="48"/>
      <c r="F283" s="2"/>
      <c r="G283" s="2"/>
      <c r="H283" s="15"/>
      <c r="I283" s="15"/>
      <c r="J283" s="15"/>
      <c r="K283" s="15"/>
      <c r="L283" s="15"/>
      <c r="M283" s="15"/>
      <c r="N283" s="15"/>
      <c r="O283" s="15"/>
      <c r="P283" s="924"/>
      <c r="Q283" s="158"/>
    </row>
    <row r="284" spans="1:17" x14ac:dyDescent="0.3">
      <c r="A284" s="12"/>
      <c r="G284" s="75" t="s">
        <v>369</v>
      </c>
      <c r="H284" s="31">
        <f>'BUDGET DETAIL'!S764</f>
        <v>241901.51000000004</v>
      </c>
      <c r="I284" s="31">
        <f>'BUDGET DETAIL'!AF764</f>
        <v>254914.53999999998</v>
      </c>
      <c r="J284" s="31">
        <f>'BUDGET DETAIL'!AS764</f>
        <v>269150.03000000003</v>
      </c>
      <c r="K284" s="31">
        <f>'BUDGET DETAIL'!BF764</f>
        <v>230815.52000000002</v>
      </c>
      <c r="L284" s="31">
        <f>'BUDGET DETAIL'!BR764</f>
        <v>269846</v>
      </c>
      <c r="M284" s="31">
        <f>'BUDGET DETAIL'!BW764</f>
        <v>269364</v>
      </c>
      <c r="N284" s="31">
        <f>'BUDGET DETAIL'!BZ764</f>
        <v>269364</v>
      </c>
      <c r="O284" s="31">
        <f>'BUDGET DETAIL'!CA764</f>
        <v>269364</v>
      </c>
      <c r="P284" s="397">
        <f>(O284-L284)/L284</f>
        <v>-1.786203983012533E-3</v>
      </c>
    </row>
    <row r="285" spans="1:17" x14ac:dyDescent="0.3">
      <c r="A285" s="12"/>
      <c r="G285" s="75" t="s">
        <v>11</v>
      </c>
      <c r="H285" s="31">
        <f>'BUDGET DETAIL'!S769</f>
        <v>188261.48</v>
      </c>
      <c r="I285" s="31">
        <f>'BUDGET DETAIL'!AF769</f>
        <v>195831.06</v>
      </c>
      <c r="J285" s="31">
        <f>'BUDGET DETAIL'!AS769</f>
        <v>207875.21000000002</v>
      </c>
      <c r="K285" s="31">
        <f>'BUDGET DETAIL'!BF769</f>
        <v>210247.67</v>
      </c>
      <c r="L285" s="31">
        <f>'BUDGET DETAIL'!BR769</f>
        <v>217956</v>
      </c>
      <c r="M285" s="31">
        <f>'BUDGET DETAIL'!BW769</f>
        <v>220889</v>
      </c>
      <c r="N285" s="31">
        <f>'BUDGET DETAIL'!BZ769</f>
        <v>220889</v>
      </c>
      <c r="O285" s="31">
        <f>'BUDGET DETAIL'!CA769</f>
        <v>220889</v>
      </c>
      <c r="P285" s="397">
        <f>(O285-L285)/L285</f>
        <v>1.3456844500724917E-2</v>
      </c>
    </row>
    <row r="286" spans="1:17" s="19" customFormat="1" x14ac:dyDescent="0.3">
      <c r="A286" s="27"/>
      <c r="B286" s="8"/>
      <c r="C286" s="42"/>
      <c r="D286" s="42"/>
      <c r="E286" s="54"/>
      <c r="F286" s="8"/>
      <c r="G286" s="109" t="s">
        <v>220</v>
      </c>
      <c r="H286" s="77">
        <f t="shared" ref="H286:O286" si="76">H284+H285</f>
        <v>430162.99000000005</v>
      </c>
      <c r="I286" s="77">
        <f t="shared" si="76"/>
        <v>450745.59999999998</v>
      </c>
      <c r="J286" s="77">
        <f t="shared" si="76"/>
        <v>477025.24000000005</v>
      </c>
      <c r="K286" s="77">
        <f t="shared" si="76"/>
        <v>441063.19000000006</v>
      </c>
      <c r="L286" s="77">
        <f t="shared" si="76"/>
        <v>487802</v>
      </c>
      <c r="M286" s="77">
        <f t="shared" si="76"/>
        <v>490253</v>
      </c>
      <c r="N286" s="77">
        <f t="shared" si="76"/>
        <v>490253</v>
      </c>
      <c r="O286" s="77">
        <f t="shared" si="76"/>
        <v>490253</v>
      </c>
      <c r="P286" s="925">
        <f>(O286-L286)/L286</f>
        <v>5.0245796450199059E-3</v>
      </c>
      <c r="Q286" s="159"/>
    </row>
    <row r="287" spans="1:17" x14ac:dyDescent="0.3">
      <c r="G287" s="7"/>
      <c r="H287" s="31"/>
      <c r="I287" s="31"/>
      <c r="J287" s="31"/>
      <c r="K287" s="31"/>
      <c r="L287" s="31"/>
      <c r="M287" s="31"/>
      <c r="N287" s="31"/>
      <c r="O287" s="31"/>
    </row>
    <row r="288" spans="1:17" s="19" customFormat="1" x14ac:dyDescent="0.3">
      <c r="A288" s="27"/>
      <c r="B288" s="8"/>
      <c r="C288" s="42"/>
      <c r="D288" s="42"/>
      <c r="E288" s="54"/>
      <c r="F288" s="8"/>
      <c r="G288" s="109" t="s">
        <v>219</v>
      </c>
      <c r="H288" s="77">
        <f>'BUDGET DETAIL'!S793</f>
        <v>148242.47</v>
      </c>
      <c r="I288" s="77">
        <f>'BUDGET DETAIL'!AF793</f>
        <v>152931.71</v>
      </c>
      <c r="J288" s="77">
        <f>'BUDGET DETAIL'!AS793</f>
        <v>147830.91</v>
      </c>
      <c r="K288" s="77">
        <f>'BUDGET DETAIL'!BF793</f>
        <v>147477.10999999996</v>
      </c>
      <c r="L288" s="77">
        <f>'BUDGET DETAIL'!BR793</f>
        <v>164680</v>
      </c>
      <c r="M288" s="77">
        <f>'BUDGET DETAIL'!BW793</f>
        <v>164680</v>
      </c>
      <c r="N288" s="77">
        <f>'BUDGET DETAIL'!BZ793</f>
        <v>164680</v>
      </c>
      <c r="O288" s="77">
        <f>'BUDGET DETAIL'!CA793</f>
        <v>176656</v>
      </c>
      <c r="P288" s="925">
        <f>(O288-L288)/L288</f>
        <v>7.272285644887054E-2</v>
      </c>
      <c r="Q288" s="159"/>
    </row>
    <row r="289" spans="1:17" ht="9.9" customHeight="1" x14ac:dyDescent="0.3">
      <c r="G289" s="7"/>
      <c r="H289" s="31"/>
      <c r="I289" s="31"/>
      <c r="J289" s="31"/>
      <c r="K289" s="31"/>
      <c r="L289" s="31"/>
      <c r="M289" s="31"/>
      <c r="N289" s="31"/>
      <c r="O289" s="31"/>
    </row>
    <row r="290" spans="1:17" s="1" customFormat="1" x14ac:dyDescent="0.3">
      <c r="A290" s="20"/>
      <c r="B290" s="5"/>
      <c r="C290" s="39"/>
      <c r="D290" s="39"/>
      <c r="E290" s="51"/>
      <c r="F290" s="5"/>
      <c r="G290" s="80" t="s">
        <v>221</v>
      </c>
      <c r="H290" s="81">
        <f t="shared" ref="H290:O290" si="77">H286+H288</f>
        <v>578405.46000000008</v>
      </c>
      <c r="I290" s="81">
        <f t="shared" si="77"/>
        <v>603677.30999999994</v>
      </c>
      <c r="J290" s="81">
        <f t="shared" si="77"/>
        <v>624856.15</v>
      </c>
      <c r="K290" s="81">
        <f t="shared" si="77"/>
        <v>588540.30000000005</v>
      </c>
      <c r="L290" s="81">
        <f t="shared" si="77"/>
        <v>652482</v>
      </c>
      <c r="M290" s="81">
        <f t="shared" si="77"/>
        <v>654933</v>
      </c>
      <c r="N290" s="81">
        <f t="shared" si="77"/>
        <v>654933</v>
      </c>
      <c r="O290" s="81">
        <f t="shared" si="77"/>
        <v>666909</v>
      </c>
      <c r="P290" s="926">
        <f>(O290-L290)/L290</f>
        <v>2.2110954784959586E-2</v>
      </c>
      <c r="Q290" s="158"/>
    </row>
    <row r="291" spans="1:17" ht="26.1" customHeight="1" x14ac:dyDescent="0.3">
      <c r="A291" s="12"/>
      <c r="B291" s="1"/>
      <c r="C291" s="35"/>
      <c r="D291" s="35"/>
    </row>
    <row r="292" spans="1:17" s="1" customFormat="1" ht="15.6" x14ac:dyDescent="0.3">
      <c r="A292" s="14" t="s">
        <v>1212</v>
      </c>
      <c r="B292" s="2"/>
      <c r="C292" s="36"/>
      <c r="D292" s="36"/>
      <c r="E292" s="48"/>
      <c r="F292" s="2"/>
      <c r="G292" s="2"/>
      <c r="H292" s="15"/>
      <c r="I292" s="15"/>
      <c r="J292" s="15"/>
      <c r="K292" s="15"/>
      <c r="L292" s="15"/>
      <c r="M292" s="15"/>
      <c r="N292" s="15"/>
      <c r="O292" s="15"/>
      <c r="P292" s="924"/>
      <c r="Q292" s="158"/>
    </row>
    <row r="293" spans="1:17" x14ac:dyDescent="0.3">
      <c r="A293" s="12"/>
      <c r="G293" s="75" t="s">
        <v>369</v>
      </c>
      <c r="H293" s="31">
        <f>'BUDGET DETAIL'!S799</f>
        <v>0</v>
      </c>
      <c r="I293" s="31">
        <f>'BUDGET DETAIL'!AF799</f>
        <v>0</v>
      </c>
      <c r="J293" s="31">
        <f>'BUDGET DETAIL'!AS799</f>
        <v>0</v>
      </c>
      <c r="K293" s="31">
        <f>'BUDGET DETAIL'!BF799</f>
        <v>0</v>
      </c>
      <c r="L293" s="31">
        <f>'BUDGET DETAIL'!BR799</f>
        <v>31103</v>
      </c>
      <c r="M293" s="31">
        <f>'BUDGET DETAIL'!BW799</f>
        <v>31708</v>
      </c>
      <c r="N293" s="31">
        <f>'BUDGET DETAIL'!BZ799</f>
        <v>31708</v>
      </c>
      <c r="O293" s="31">
        <f>'BUDGET DETAIL'!CA799</f>
        <v>31708</v>
      </c>
      <c r="P293" s="397">
        <f>(O293-L293)/L293</f>
        <v>1.9451499855319423E-2</v>
      </c>
    </row>
    <row r="294" spans="1:17" s="19" customFormat="1" x14ac:dyDescent="0.3">
      <c r="A294" s="27"/>
      <c r="B294" s="8"/>
      <c r="C294" s="42"/>
      <c r="D294" s="42"/>
      <c r="E294" s="54"/>
      <c r="F294" s="8"/>
      <c r="G294" s="109" t="s">
        <v>1213</v>
      </c>
      <c r="H294" s="77">
        <f t="shared" ref="H294" si="78">SUM(H293)</f>
        <v>0</v>
      </c>
      <c r="I294" s="77">
        <f t="shared" ref="I294:J294" si="79">SUM(I293)</f>
        <v>0</v>
      </c>
      <c r="J294" s="77">
        <f t="shared" si="79"/>
        <v>0</v>
      </c>
      <c r="K294" s="77">
        <f t="shared" ref="K294:L294" si="80">SUM(K293)</f>
        <v>0</v>
      </c>
      <c r="L294" s="77">
        <f t="shared" si="80"/>
        <v>31103</v>
      </c>
      <c r="M294" s="77">
        <f t="shared" ref="M294:O294" si="81">SUM(M293)</f>
        <v>31708</v>
      </c>
      <c r="N294" s="77">
        <f t="shared" si="81"/>
        <v>31708</v>
      </c>
      <c r="O294" s="77">
        <f t="shared" si="81"/>
        <v>31708</v>
      </c>
      <c r="P294" s="925">
        <f>(O294-L294)/L294</f>
        <v>1.9451499855319423E-2</v>
      </c>
      <c r="Q294" s="159"/>
    </row>
    <row r="295" spans="1:17" x14ac:dyDescent="0.3">
      <c r="G295" s="7"/>
      <c r="H295" s="31"/>
      <c r="I295" s="31"/>
      <c r="J295" s="31"/>
      <c r="K295" s="31"/>
      <c r="L295" s="31"/>
      <c r="M295" s="31"/>
      <c r="N295" s="31"/>
      <c r="O295" s="31"/>
    </row>
    <row r="296" spans="1:17" s="19" customFormat="1" x14ac:dyDescent="0.3">
      <c r="A296" s="27"/>
      <c r="B296" s="8"/>
      <c r="C296" s="42"/>
      <c r="D296" s="42"/>
      <c r="E296" s="54"/>
      <c r="F296" s="8"/>
      <c r="G296" s="109" t="s">
        <v>1214</v>
      </c>
      <c r="H296" s="77">
        <f>'BUDGET DETAIL'!S806</f>
        <v>0</v>
      </c>
      <c r="I296" s="77">
        <f>'BUDGET DETAIL'!AF806</f>
        <v>0</v>
      </c>
      <c r="J296" s="77">
        <f>'BUDGET DETAIL'!AS806</f>
        <v>0</v>
      </c>
      <c r="K296" s="77">
        <f>'BUDGET DETAIL'!BF806</f>
        <v>0</v>
      </c>
      <c r="L296" s="77">
        <f>'BUDGET DETAIL'!BR806</f>
        <v>2000</v>
      </c>
      <c r="M296" s="77">
        <f>'BUDGET DETAIL'!BW806</f>
        <v>2000</v>
      </c>
      <c r="N296" s="77">
        <f>'BUDGET DETAIL'!BZ806</f>
        <v>2000</v>
      </c>
      <c r="O296" s="77">
        <f>'BUDGET DETAIL'!CA806</f>
        <v>2000</v>
      </c>
      <c r="P296" s="925">
        <f>(O296-L296)/L296</f>
        <v>0</v>
      </c>
      <c r="Q296" s="159"/>
    </row>
    <row r="297" spans="1:17" ht="9.9" customHeight="1" x14ac:dyDescent="0.3">
      <c r="G297" s="7"/>
      <c r="H297" s="31"/>
      <c r="I297" s="31"/>
      <c r="J297" s="31"/>
      <c r="K297" s="31"/>
      <c r="L297" s="31"/>
      <c r="M297" s="31"/>
      <c r="N297" s="31"/>
      <c r="O297" s="31"/>
    </row>
    <row r="298" spans="1:17" s="1" customFormat="1" x14ac:dyDescent="0.3">
      <c r="A298" s="20"/>
      <c r="B298" s="5"/>
      <c r="C298" s="39"/>
      <c r="D298" s="39"/>
      <c r="E298" s="51"/>
      <c r="F298" s="5"/>
      <c r="G298" s="80" t="s">
        <v>1215</v>
      </c>
      <c r="H298" s="81">
        <f t="shared" ref="H298:O298" si="82">H294+H296</f>
        <v>0</v>
      </c>
      <c r="I298" s="81">
        <f t="shared" si="82"/>
        <v>0</v>
      </c>
      <c r="J298" s="81">
        <f t="shared" si="82"/>
        <v>0</v>
      </c>
      <c r="K298" s="81">
        <f t="shared" si="82"/>
        <v>0</v>
      </c>
      <c r="L298" s="81">
        <f t="shared" si="82"/>
        <v>33103</v>
      </c>
      <c r="M298" s="81">
        <f t="shared" si="82"/>
        <v>33708</v>
      </c>
      <c r="N298" s="81">
        <f t="shared" si="82"/>
        <v>33708</v>
      </c>
      <c r="O298" s="81">
        <f t="shared" si="82"/>
        <v>33708</v>
      </c>
      <c r="P298" s="926">
        <f>(O298-L298)/L298</f>
        <v>1.827628915808235E-2</v>
      </c>
      <c r="Q298" s="158"/>
    </row>
    <row r="299" spans="1:17" ht="26.1" customHeight="1" x14ac:dyDescent="0.3">
      <c r="A299" s="12"/>
      <c r="B299" s="1"/>
      <c r="C299" s="35"/>
      <c r="D299" s="35"/>
    </row>
    <row r="300" spans="1:17" s="1" customFormat="1" ht="15.6" x14ac:dyDescent="0.3">
      <c r="A300" s="14" t="s">
        <v>278</v>
      </c>
      <c r="B300" s="2"/>
      <c r="C300" s="36"/>
      <c r="D300" s="36"/>
      <c r="E300" s="48"/>
      <c r="F300" s="2"/>
      <c r="G300" s="82"/>
      <c r="H300" s="83"/>
      <c r="I300" s="83"/>
      <c r="J300" s="83"/>
      <c r="K300" s="83"/>
      <c r="L300" s="83"/>
      <c r="M300" s="83"/>
      <c r="N300" s="83"/>
      <c r="O300" s="83"/>
      <c r="P300" s="924"/>
      <c r="Q300" s="158"/>
    </row>
    <row r="301" spans="1:17" s="19" customFormat="1" x14ac:dyDescent="0.3">
      <c r="A301" s="27"/>
      <c r="B301" s="8"/>
      <c r="C301" s="42"/>
      <c r="D301" s="42"/>
      <c r="E301" s="54"/>
      <c r="F301" s="8"/>
      <c r="G301" s="109" t="s">
        <v>279</v>
      </c>
      <c r="H301" s="77">
        <f>'BUDGET DETAIL'!S813</f>
        <v>0</v>
      </c>
      <c r="I301" s="77">
        <f>'BUDGET DETAIL'!AF813</f>
        <v>0</v>
      </c>
      <c r="J301" s="77">
        <f>'BUDGET DETAIL'!AS813</f>
        <v>0</v>
      </c>
      <c r="K301" s="77">
        <f>'BUDGET DETAIL'!BF813</f>
        <v>350</v>
      </c>
      <c r="L301" s="77">
        <f>'BUDGET DETAIL'!BR813</f>
        <v>400</v>
      </c>
      <c r="M301" s="77">
        <f>'BUDGET DETAIL'!BW813</f>
        <v>300</v>
      </c>
      <c r="N301" s="77">
        <f>'BUDGET DETAIL'!BZ813</f>
        <v>300</v>
      </c>
      <c r="O301" s="77">
        <f>'BUDGET DETAIL'!CA813</f>
        <v>300</v>
      </c>
      <c r="P301" s="925">
        <f>(O301-L301)/L301</f>
        <v>-0.25</v>
      </c>
      <c r="Q301" s="159"/>
    </row>
    <row r="302" spans="1:17" ht="9.9" customHeight="1" x14ac:dyDescent="0.3">
      <c r="G302" s="7"/>
      <c r="H302" s="31"/>
      <c r="I302" s="31"/>
      <c r="J302" s="31"/>
      <c r="K302" s="31"/>
      <c r="L302" s="31"/>
      <c r="M302" s="31"/>
      <c r="N302" s="31"/>
      <c r="O302" s="31"/>
    </row>
    <row r="303" spans="1:17" s="1" customFormat="1" x14ac:dyDescent="0.3">
      <c r="A303" s="20"/>
      <c r="B303" s="5"/>
      <c r="C303" s="39"/>
      <c r="D303" s="39"/>
      <c r="E303" s="51"/>
      <c r="F303" s="5"/>
      <c r="G303" s="80" t="s">
        <v>280</v>
      </c>
      <c r="H303" s="81">
        <f t="shared" ref="H303:O303" si="83">H301</f>
        <v>0</v>
      </c>
      <c r="I303" s="81">
        <f t="shared" si="83"/>
        <v>0</v>
      </c>
      <c r="J303" s="81">
        <f t="shared" si="83"/>
        <v>0</v>
      </c>
      <c r="K303" s="81">
        <f t="shared" si="83"/>
        <v>350</v>
      </c>
      <c r="L303" s="81">
        <f t="shared" si="83"/>
        <v>400</v>
      </c>
      <c r="M303" s="81">
        <f t="shared" si="83"/>
        <v>300</v>
      </c>
      <c r="N303" s="81">
        <f t="shared" si="83"/>
        <v>300</v>
      </c>
      <c r="O303" s="81">
        <f t="shared" si="83"/>
        <v>300</v>
      </c>
      <c r="P303" s="926">
        <f>(O303-L303)/L303</f>
        <v>-0.25</v>
      </c>
      <c r="Q303" s="158"/>
    </row>
    <row r="304" spans="1:17" ht="26.1" customHeight="1" x14ac:dyDescent="0.3">
      <c r="A304" s="12"/>
      <c r="B304" s="1"/>
      <c r="C304" s="35"/>
      <c r="D304" s="35"/>
    </row>
    <row r="305" spans="1:17" s="1" customFormat="1" ht="15.6" x14ac:dyDescent="0.3">
      <c r="A305" s="14" t="s">
        <v>365</v>
      </c>
      <c r="B305" s="2"/>
      <c r="C305" s="36"/>
      <c r="D305" s="36"/>
      <c r="E305" s="48"/>
      <c r="F305" s="2"/>
      <c r="G305" s="82"/>
      <c r="H305" s="83"/>
      <c r="I305" s="83"/>
      <c r="J305" s="83"/>
      <c r="K305" s="83"/>
      <c r="L305" s="83"/>
      <c r="M305" s="83"/>
      <c r="N305" s="83"/>
      <c r="O305" s="83"/>
      <c r="P305" s="930"/>
      <c r="Q305" s="158"/>
    </row>
    <row r="306" spans="1:17" s="19" customFormat="1" x14ac:dyDescent="0.3">
      <c r="A306" s="27"/>
      <c r="B306" s="8"/>
      <c r="C306" s="42"/>
      <c r="D306" s="42"/>
      <c r="E306" s="54"/>
      <c r="F306" s="8"/>
      <c r="G306" s="108" t="s">
        <v>363</v>
      </c>
      <c r="H306" s="77">
        <f>'BUDGET DETAIL'!S819</f>
        <v>0</v>
      </c>
      <c r="I306" s="77">
        <f>'BUDGET DETAIL'!AF819</f>
        <v>0</v>
      </c>
      <c r="J306" s="77">
        <f>'BUDGET DETAIL'!AS819</f>
        <v>0</v>
      </c>
      <c r="K306" s="77">
        <f>'BUDGET DETAIL'!BF819</f>
        <v>0</v>
      </c>
      <c r="L306" s="77">
        <f>'BUDGET DETAIL'!BR819</f>
        <v>100</v>
      </c>
      <c r="M306" s="77">
        <f>'BUDGET DETAIL'!BW819</f>
        <v>100</v>
      </c>
      <c r="N306" s="77">
        <f>'BUDGET DETAIL'!BZ819</f>
        <v>100</v>
      </c>
      <c r="O306" s="77">
        <f>'BUDGET DETAIL'!CA819</f>
        <v>100</v>
      </c>
      <c r="P306" s="925">
        <f>(O306-L306)/L306</f>
        <v>0</v>
      </c>
      <c r="Q306" s="159"/>
    </row>
    <row r="307" spans="1:17" x14ac:dyDescent="0.3">
      <c r="G307" s="7"/>
      <c r="H307" s="31"/>
      <c r="I307" s="31"/>
      <c r="J307" s="31"/>
      <c r="K307" s="31"/>
      <c r="L307" s="31"/>
      <c r="M307" s="31"/>
      <c r="N307" s="31"/>
      <c r="O307" s="31"/>
      <c r="P307" s="397"/>
    </row>
    <row r="308" spans="1:17" s="19" customFormat="1" x14ac:dyDescent="0.3">
      <c r="A308" s="27"/>
      <c r="B308" s="8"/>
      <c r="C308" s="42"/>
      <c r="D308" s="42"/>
      <c r="E308" s="54"/>
      <c r="F308" s="8"/>
      <c r="G308" s="57" t="s">
        <v>364</v>
      </c>
      <c r="H308" s="28">
        <f>'BUDGET DETAIL'!S827</f>
        <v>650</v>
      </c>
      <c r="I308" s="28">
        <f>'BUDGET DETAIL'!AF827</f>
        <v>800</v>
      </c>
      <c r="J308" s="28">
        <f>'BUDGET DETAIL'!AS827</f>
        <v>504</v>
      </c>
      <c r="K308" s="28">
        <f>'BUDGET DETAIL'!BF827</f>
        <v>0</v>
      </c>
      <c r="L308" s="28">
        <f>'BUDGET DETAIL'!BR827</f>
        <v>1750</v>
      </c>
      <c r="M308" s="28">
        <f>'BUDGET DETAIL'!BW827</f>
        <v>1750</v>
      </c>
      <c r="N308" s="28">
        <f>'BUDGET DETAIL'!BZ827</f>
        <v>1750</v>
      </c>
      <c r="O308" s="28">
        <f>'BUDGET DETAIL'!CA827</f>
        <v>1750</v>
      </c>
      <c r="P308" s="925">
        <f>(O308-L308)/L308</f>
        <v>0</v>
      </c>
      <c r="Q308" s="159"/>
    </row>
    <row r="309" spans="1:17" ht="9.9" customHeight="1" x14ac:dyDescent="0.3"/>
    <row r="310" spans="1:17" s="1" customFormat="1" x14ac:dyDescent="0.3">
      <c r="A310" s="20"/>
      <c r="B310" s="5"/>
      <c r="C310" s="39"/>
      <c r="D310" s="39"/>
      <c r="E310" s="51"/>
      <c r="F310" s="5"/>
      <c r="G310" s="21" t="s">
        <v>366</v>
      </c>
      <c r="H310" s="22">
        <f t="shared" ref="H310:O310" si="84">H306+H308</f>
        <v>650</v>
      </c>
      <c r="I310" s="22">
        <f t="shared" si="84"/>
        <v>800</v>
      </c>
      <c r="J310" s="22">
        <f t="shared" si="84"/>
        <v>504</v>
      </c>
      <c r="K310" s="22">
        <f t="shared" si="84"/>
        <v>0</v>
      </c>
      <c r="L310" s="22">
        <f t="shared" si="84"/>
        <v>1850</v>
      </c>
      <c r="M310" s="22">
        <f t="shared" si="84"/>
        <v>1850</v>
      </c>
      <c r="N310" s="22">
        <f t="shared" si="84"/>
        <v>1850</v>
      </c>
      <c r="O310" s="22">
        <f t="shared" si="84"/>
        <v>1850</v>
      </c>
      <c r="P310" s="926">
        <f>(O310-L310)/L310</f>
        <v>0</v>
      </c>
      <c r="Q310" s="158"/>
    </row>
    <row r="311" spans="1:17" ht="26.1" customHeight="1" x14ac:dyDescent="0.3">
      <c r="A311" s="12"/>
      <c r="B311" s="1"/>
      <c r="C311" s="35"/>
      <c r="D311" s="35"/>
    </row>
    <row r="312" spans="1:17" s="1" customFormat="1" ht="15.6" x14ac:dyDescent="0.3">
      <c r="A312" s="14" t="s">
        <v>706</v>
      </c>
      <c r="B312" s="2"/>
      <c r="C312" s="36"/>
      <c r="D312" s="36"/>
      <c r="E312" s="48"/>
      <c r="F312" s="2"/>
      <c r="G312" s="82"/>
      <c r="H312" s="83"/>
      <c r="I312" s="83"/>
      <c r="J312" s="83"/>
      <c r="K312" s="83"/>
      <c r="L312" s="83"/>
      <c r="M312" s="83"/>
      <c r="N312" s="83"/>
      <c r="O312" s="83"/>
      <c r="P312" s="924"/>
      <c r="Q312" s="158"/>
    </row>
    <row r="313" spans="1:17" s="19" customFormat="1" x14ac:dyDescent="0.3">
      <c r="A313" s="27"/>
      <c r="B313" s="8"/>
      <c r="C313" s="42"/>
      <c r="D313" s="42"/>
      <c r="E313" s="54"/>
      <c r="F313" s="8"/>
      <c r="G313" s="109" t="s">
        <v>704</v>
      </c>
      <c r="H313" s="77">
        <f>'BUDGET DETAIL'!S835</f>
        <v>0</v>
      </c>
      <c r="I313" s="77">
        <f>'BUDGET DETAIL'!AF835</f>
        <v>0</v>
      </c>
      <c r="J313" s="77">
        <f>'BUDGET DETAIL'!AS835</f>
        <v>0</v>
      </c>
      <c r="K313" s="77">
        <f>'BUDGET DETAIL'!BF835</f>
        <v>0</v>
      </c>
      <c r="L313" s="77">
        <f>'BUDGET DETAIL'!BR835</f>
        <v>0</v>
      </c>
      <c r="M313" s="77">
        <f>'BUDGET DETAIL'!BW835</f>
        <v>0</v>
      </c>
      <c r="N313" s="77">
        <f>'BUDGET DETAIL'!BZ835</f>
        <v>0</v>
      </c>
      <c r="O313" s="77">
        <f>'BUDGET DETAIL'!CA835</f>
        <v>0</v>
      </c>
      <c r="P313" s="925"/>
      <c r="Q313" s="159"/>
    </row>
    <row r="314" spans="1:17" ht="9.9" customHeight="1" x14ac:dyDescent="0.3">
      <c r="G314" s="7"/>
      <c r="H314" s="31"/>
      <c r="I314" s="31"/>
      <c r="J314" s="31"/>
      <c r="K314" s="31"/>
      <c r="L314" s="31"/>
      <c r="M314" s="31"/>
      <c r="N314" s="31"/>
      <c r="O314" s="31"/>
    </row>
    <row r="315" spans="1:17" s="1" customFormat="1" x14ac:dyDescent="0.3">
      <c r="A315" s="20"/>
      <c r="B315" s="5"/>
      <c r="C315" s="39"/>
      <c r="D315" s="39"/>
      <c r="E315" s="51"/>
      <c r="F315" s="5"/>
      <c r="G315" s="80" t="s">
        <v>705</v>
      </c>
      <c r="H315" s="81">
        <f t="shared" ref="H315" si="85">H313</f>
        <v>0</v>
      </c>
      <c r="I315" s="81">
        <f t="shared" ref="I315:J315" si="86">I313</f>
        <v>0</v>
      </c>
      <c r="J315" s="81">
        <f t="shared" si="86"/>
        <v>0</v>
      </c>
      <c r="K315" s="81">
        <f t="shared" ref="K315:L315" si="87">K313</f>
        <v>0</v>
      </c>
      <c r="L315" s="81">
        <f t="shared" si="87"/>
        <v>0</v>
      </c>
      <c r="M315" s="81">
        <f t="shared" ref="M315:O315" si="88">M313</f>
        <v>0</v>
      </c>
      <c r="N315" s="81">
        <f t="shared" si="88"/>
        <v>0</v>
      </c>
      <c r="O315" s="81">
        <f t="shared" si="88"/>
        <v>0</v>
      </c>
      <c r="P315" s="931" t="str">
        <f>IF(M315=0," ",(M315-L315)/L315)</f>
        <v xml:space="preserve"> </v>
      </c>
      <c r="Q315" s="158" t="s">
        <v>1253</v>
      </c>
    </row>
    <row r="316" spans="1:17" ht="26.1" customHeight="1" x14ac:dyDescent="0.3">
      <c r="A316" s="12"/>
      <c r="B316" s="1"/>
      <c r="C316" s="35"/>
      <c r="D316" s="35"/>
    </row>
    <row r="317" spans="1:17" s="1" customFormat="1" ht="20.100000000000001" customHeight="1" x14ac:dyDescent="0.3">
      <c r="A317" s="58" t="s">
        <v>348</v>
      </c>
      <c r="B317" s="59"/>
      <c r="C317" s="60"/>
      <c r="D317" s="60"/>
      <c r="E317" s="61"/>
      <c r="F317" s="59"/>
      <c r="G317" s="59"/>
      <c r="H317" s="62">
        <f t="shared" ref="H317:O317" si="89">H315+H310+H303+H298+H290</f>
        <v>579055.46000000008</v>
      </c>
      <c r="I317" s="62">
        <f t="shared" si="89"/>
        <v>604477.30999999994</v>
      </c>
      <c r="J317" s="62">
        <f t="shared" si="89"/>
        <v>625360.15</v>
      </c>
      <c r="K317" s="62">
        <f t="shared" si="89"/>
        <v>588890.30000000005</v>
      </c>
      <c r="L317" s="62">
        <f t="shared" si="89"/>
        <v>687835</v>
      </c>
      <c r="M317" s="62">
        <f t="shared" si="89"/>
        <v>690791</v>
      </c>
      <c r="N317" s="62">
        <f t="shared" si="89"/>
        <v>690791</v>
      </c>
      <c r="O317" s="62">
        <f t="shared" si="89"/>
        <v>702767</v>
      </c>
      <c r="P317" s="927">
        <f>(O317-L317)/L317</f>
        <v>2.170869467241417E-2</v>
      </c>
      <c r="Q317" s="158"/>
    </row>
    <row r="318" spans="1:17" s="1" customFormat="1" ht="20.100000000000001" customHeight="1" x14ac:dyDescent="0.3">
      <c r="A318" s="33"/>
      <c r="B318" s="10"/>
      <c r="C318" s="44"/>
      <c r="D318" s="44"/>
      <c r="E318" s="55"/>
      <c r="F318" s="10"/>
      <c r="G318" s="10"/>
      <c r="H318" s="34"/>
      <c r="I318" s="34"/>
      <c r="J318" s="34"/>
      <c r="K318" s="34"/>
      <c r="L318" s="34"/>
      <c r="M318" s="34"/>
      <c r="N318" s="34"/>
      <c r="O318" s="34"/>
      <c r="P318" s="397"/>
      <c r="Q318" s="158"/>
    </row>
    <row r="319" spans="1:17" s="1" customFormat="1" ht="20.100000000000001" customHeight="1" x14ac:dyDescent="0.3">
      <c r="A319" s="33"/>
      <c r="B319" s="10"/>
      <c r="C319" s="44"/>
      <c r="D319" s="44"/>
      <c r="E319" s="55"/>
      <c r="F319" s="10"/>
      <c r="G319" s="10"/>
      <c r="H319" s="34"/>
      <c r="I319" s="34"/>
      <c r="J319" s="34"/>
      <c r="K319" s="34"/>
      <c r="L319" s="34"/>
      <c r="M319" s="34"/>
      <c r="N319" s="34"/>
      <c r="O319" s="34"/>
      <c r="P319" s="397"/>
      <c r="Q319" s="158"/>
    </row>
    <row r="320" spans="1:17" s="1" customFormat="1" ht="20.100000000000001" customHeight="1" x14ac:dyDescent="0.3">
      <c r="A320" s="63" t="s">
        <v>347</v>
      </c>
      <c r="B320" s="59"/>
      <c r="C320" s="60"/>
      <c r="D320" s="60"/>
      <c r="E320" s="61"/>
      <c r="F320" s="59"/>
      <c r="G320" s="59"/>
      <c r="H320" s="62"/>
      <c r="I320" s="62"/>
      <c r="J320" s="62"/>
      <c r="K320" s="62"/>
      <c r="L320" s="62"/>
      <c r="M320" s="62"/>
      <c r="N320" s="62"/>
      <c r="O320" s="62"/>
      <c r="P320" s="923"/>
      <c r="Q320" s="158"/>
    </row>
    <row r="321" spans="1:17" s="1" customFormat="1" ht="15.6" x14ac:dyDescent="0.3">
      <c r="A321" s="14" t="s">
        <v>347</v>
      </c>
      <c r="B321" s="2"/>
      <c r="C321" s="36"/>
      <c r="D321" s="36"/>
      <c r="E321" s="48"/>
      <c r="F321" s="2"/>
      <c r="G321" s="2"/>
      <c r="H321" s="15"/>
      <c r="I321" s="15"/>
      <c r="J321" s="15"/>
      <c r="K321" s="15"/>
      <c r="L321" s="15"/>
      <c r="M321" s="15"/>
      <c r="N321" s="15"/>
      <c r="O321" s="15"/>
      <c r="P321" s="924"/>
      <c r="Q321" s="158"/>
    </row>
    <row r="322" spans="1:17" s="19" customFormat="1" x14ac:dyDescent="0.3">
      <c r="A322" s="27"/>
      <c r="B322" s="8"/>
      <c r="C322" s="42"/>
      <c r="D322" s="42"/>
      <c r="E322" s="54"/>
      <c r="F322" s="8"/>
      <c r="G322" s="57" t="s">
        <v>349</v>
      </c>
      <c r="H322" s="28">
        <f>'BUDGET DETAIL'!S863</f>
        <v>845277.52</v>
      </c>
      <c r="I322" s="28">
        <f>'BUDGET DETAIL'!AF863</f>
        <v>1095061.83</v>
      </c>
      <c r="J322" s="28">
        <f>'BUDGET DETAIL'!AS863</f>
        <v>1347142.65</v>
      </c>
      <c r="K322" s="28">
        <f>'BUDGET DETAIL'!BF863</f>
        <v>1360327.76</v>
      </c>
      <c r="L322" s="28">
        <f>'BUDGET DETAIL'!BR863</f>
        <v>1312064</v>
      </c>
      <c r="M322" s="28">
        <f>'BUDGET DETAIL'!BW863</f>
        <v>1096864</v>
      </c>
      <c r="N322" s="28">
        <f>'BUDGET DETAIL'!BZ863</f>
        <v>1096864</v>
      </c>
      <c r="O322" s="28">
        <f>'BUDGET DETAIL'!CA863</f>
        <v>1096864</v>
      </c>
      <c r="P322" s="925">
        <f>(O322-L322)/L322</f>
        <v>-0.16401638944441735</v>
      </c>
      <c r="Q322" s="159"/>
    </row>
    <row r="323" spans="1:17" ht="9.9" customHeight="1" x14ac:dyDescent="0.3"/>
    <row r="324" spans="1:17" s="1" customFormat="1" x14ac:dyDescent="0.3">
      <c r="A324" s="20"/>
      <c r="B324" s="5"/>
      <c r="C324" s="39"/>
      <c r="D324" s="39"/>
      <c r="E324" s="51"/>
      <c r="F324" s="5"/>
      <c r="G324" s="21" t="s">
        <v>350</v>
      </c>
      <c r="H324" s="22">
        <f t="shared" ref="H324:O324" si="90">H322</f>
        <v>845277.52</v>
      </c>
      <c r="I324" s="22">
        <f t="shared" si="90"/>
        <v>1095061.83</v>
      </c>
      <c r="J324" s="22">
        <f t="shared" si="90"/>
        <v>1347142.65</v>
      </c>
      <c r="K324" s="22">
        <f t="shared" si="90"/>
        <v>1360327.76</v>
      </c>
      <c r="L324" s="22">
        <f t="shared" si="90"/>
        <v>1312064</v>
      </c>
      <c r="M324" s="22">
        <f t="shared" si="90"/>
        <v>1096864</v>
      </c>
      <c r="N324" s="22">
        <f t="shared" si="90"/>
        <v>1096864</v>
      </c>
      <c r="O324" s="22">
        <f t="shared" si="90"/>
        <v>1096864</v>
      </c>
      <c r="P324" s="926">
        <f>(O324-L324)/L324</f>
        <v>-0.16401638944441735</v>
      </c>
      <c r="Q324" s="158"/>
    </row>
    <row r="325" spans="1:17" s="1" customFormat="1" ht="20.100000000000001" customHeight="1" x14ac:dyDescent="0.3">
      <c r="A325" s="58" t="s">
        <v>351</v>
      </c>
      <c r="B325" s="59"/>
      <c r="C325" s="60"/>
      <c r="D325" s="60"/>
      <c r="E325" s="61"/>
      <c r="F325" s="59"/>
      <c r="G325" s="59"/>
      <c r="H325" s="62">
        <f t="shared" ref="H325:O325" si="91">SUM(H324)</f>
        <v>845277.52</v>
      </c>
      <c r="I325" s="62">
        <f t="shared" si="91"/>
        <v>1095061.83</v>
      </c>
      <c r="J325" s="62">
        <f t="shared" si="91"/>
        <v>1347142.65</v>
      </c>
      <c r="K325" s="62">
        <f t="shared" si="91"/>
        <v>1360327.76</v>
      </c>
      <c r="L325" s="62">
        <f t="shared" si="91"/>
        <v>1312064</v>
      </c>
      <c r="M325" s="62">
        <f t="shared" si="91"/>
        <v>1096864</v>
      </c>
      <c r="N325" s="62">
        <f t="shared" si="91"/>
        <v>1096864</v>
      </c>
      <c r="O325" s="62">
        <f t="shared" si="91"/>
        <v>1096864</v>
      </c>
      <c r="P325" s="927">
        <f>(O325-L325)/L325</f>
        <v>-0.16401638944441735</v>
      </c>
      <c r="Q325" s="158"/>
    </row>
    <row r="326" spans="1:17" s="1" customFormat="1" ht="20.100000000000001" customHeight="1" x14ac:dyDescent="0.3">
      <c r="A326" s="33"/>
      <c r="B326" s="10"/>
      <c r="C326" s="44"/>
      <c r="D326" s="44"/>
      <c r="E326" s="55"/>
      <c r="F326" s="10"/>
      <c r="G326" s="10"/>
      <c r="H326" s="34"/>
      <c r="I326" s="34"/>
      <c r="J326" s="34"/>
      <c r="K326" s="34"/>
      <c r="L326" s="34"/>
      <c r="M326" s="34"/>
      <c r="N326" s="34"/>
      <c r="O326" s="34"/>
      <c r="P326" s="397"/>
      <c r="Q326" s="158"/>
    </row>
    <row r="327" spans="1:17" s="1" customFormat="1" ht="20.100000000000001" customHeight="1" x14ac:dyDescent="0.3">
      <c r="A327" s="33"/>
      <c r="B327" s="10"/>
      <c r="C327" s="44"/>
      <c r="D327" s="44"/>
      <c r="E327" s="55"/>
      <c r="F327" s="10"/>
      <c r="G327" s="10"/>
      <c r="H327" s="34"/>
      <c r="I327" s="34"/>
      <c r="J327" s="34"/>
      <c r="K327" s="34"/>
      <c r="L327" s="34"/>
      <c r="M327" s="34"/>
      <c r="N327" s="34"/>
      <c r="O327" s="34"/>
      <c r="P327" s="397"/>
      <c r="Q327" s="158"/>
    </row>
    <row r="328" spans="1:17" s="1" customFormat="1" ht="20.100000000000001" customHeight="1" x14ac:dyDescent="0.3">
      <c r="A328" s="63" t="s">
        <v>352</v>
      </c>
      <c r="B328" s="59"/>
      <c r="C328" s="60"/>
      <c r="D328" s="60"/>
      <c r="E328" s="61"/>
      <c r="F328" s="59"/>
      <c r="G328" s="59"/>
      <c r="H328" s="62"/>
      <c r="I328" s="62"/>
      <c r="J328" s="62"/>
      <c r="K328" s="62"/>
      <c r="L328" s="62"/>
      <c r="M328" s="62"/>
      <c r="N328" s="62"/>
      <c r="O328" s="62"/>
      <c r="P328" s="923"/>
      <c r="Q328" s="158"/>
    </row>
    <row r="329" spans="1:17" s="1" customFormat="1" ht="15.6" x14ac:dyDescent="0.3">
      <c r="A329" s="14" t="s">
        <v>262</v>
      </c>
      <c r="B329" s="2"/>
      <c r="C329" s="36"/>
      <c r="D329" s="36"/>
      <c r="E329" s="48"/>
      <c r="F329" s="2"/>
      <c r="G329" s="2"/>
      <c r="H329" s="15"/>
      <c r="I329" s="15"/>
      <c r="J329" s="15"/>
      <c r="K329" s="15"/>
      <c r="L329" s="15"/>
      <c r="M329" s="15"/>
      <c r="N329" s="15"/>
      <c r="O329" s="15"/>
      <c r="P329" s="924"/>
      <c r="Q329" s="158"/>
    </row>
    <row r="330" spans="1:17" s="19" customFormat="1" x14ac:dyDescent="0.3">
      <c r="A330" s="27"/>
      <c r="B330" s="8"/>
      <c r="C330" s="42"/>
      <c r="D330" s="42"/>
      <c r="E330" s="54"/>
      <c r="F330" s="8"/>
      <c r="G330" s="57" t="s">
        <v>583</v>
      </c>
      <c r="H330" s="28">
        <f>'BUDGET DETAIL'!S879</f>
        <v>300530</v>
      </c>
      <c r="I330" s="28">
        <f>'BUDGET DETAIL'!AF879</f>
        <v>296652</v>
      </c>
      <c r="J330" s="28">
        <f>'BUDGET DETAIL'!AS879</f>
        <v>207416</v>
      </c>
      <c r="K330" s="28">
        <f>'BUDGET DETAIL'!BF879</f>
        <v>209306</v>
      </c>
      <c r="L330" s="28">
        <f>'BUDGET DETAIL'!BR879</f>
        <v>0</v>
      </c>
      <c r="M330" s="28">
        <f>'BUDGET DETAIL'!BW879</f>
        <v>0</v>
      </c>
      <c r="N330" s="28">
        <f>'BUDGET DETAIL'!BZ879</f>
        <v>0</v>
      </c>
      <c r="O330" s="28">
        <f>'BUDGET DETAIL'!CA879</f>
        <v>0</v>
      </c>
      <c r="P330" s="925"/>
      <c r="Q330" s="159"/>
    </row>
    <row r="331" spans="1:17" ht="9.9" customHeight="1" x14ac:dyDescent="0.3"/>
    <row r="332" spans="1:17" s="1" customFormat="1" x14ac:dyDescent="0.3">
      <c r="A332" s="20"/>
      <c r="B332" s="5"/>
      <c r="C332" s="39"/>
      <c r="D332" s="39"/>
      <c r="E332" s="51"/>
      <c r="F332" s="5"/>
      <c r="G332" s="21" t="s">
        <v>584</v>
      </c>
      <c r="H332" s="22">
        <f t="shared" ref="H332:O332" si="92">H330</f>
        <v>300530</v>
      </c>
      <c r="I332" s="22">
        <f t="shared" si="92"/>
        <v>296652</v>
      </c>
      <c r="J332" s="22">
        <f t="shared" si="92"/>
        <v>207416</v>
      </c>
      <c r="K332" s="22">
        <f t="shared" si="92"/>
        <v>209306</v>
      </c>
      <c r="L332" s="22">
        <f t="shared" si="92"/>
        <v>0</v>
      </c>
      <c r="M332" s="22">
        <f t="shared" si="92"/>
        <v>0</v>
      </c>
      <c r="N332" s="22">
        <f t="shared" si="92"/>
        <v>0</v>
      </c>
      <c r="O332" s="22">
        <f t="shared" si="92"/>
        <v>0</v>
      </c>
      <c r="P332" s="926"/>
      <c r="Q332" s="158"/>
    </row>
    <row r="333" spans="1:17" ht="26.1" customHeight="1" x14ac:dyDescent="0.3">
      <c r="A333" s="12"/>
      <c r="B333" s="1"/>
      <c r="C333" s="35"/>
      <c r="D333" s="35"/>
    </row>
    <row r="334" spans="1:17" s="1" customFormat="1" ht="15.6" x14ac:dyDescent="0.3">
      <c r="A334" s="14" t="s">
        <v>1247</v>
      </c>
      <c r="B334" s="2"/>
      <c r="C334" s="36"/>
      <c r="D334" s="36"/>
      <c r="E334" s="48"/>
      <c r="F334" s="2"/>
      <c r="G334" s="2"/>
      <c r="H334" s="15"/>
      <c r="I334" s="15"/>
      <c r="J334" s="15"/>
      <c r="K334" s="15"/>
      <c r="L334" s="15"/>
      <c r="M334" s="15"/>
      <c r="N334" s="15"/>
      <c r="O334" s="15"/>
      <c r="P334" s="924"/>
      <c r="Q334" s="158"/>
    </row>
    <row r="335" spans="1:17" s="19" customFormat="1" x14ac:dyDescent="0.3">
      <c r="A335" s="27"/>
      <c r="B335" s="8"/>
      <c r="C335" s="42"/>
      <c r="D335" s="42"/>
      <c r="E335" s="54"/>
      <c r="F335" s="8"/>
      <c r="G335" s="57" t="s">
        <v>1248</v>
      </c>
      <c r="H335" s="28">
        <f>'BUDGET DETAIL'!S885</f>
        <v>1056547</v>
      </c>
      <c r="I335" s="28">
        <f>'BUDGET DETAIL'!AF885</f>
        <v>1118667</v>
      </c>
      <c r="J335" s="28">
        <f>'BUDGET DETAIL'!AS885</f>
        <v>1224339</v>
      </c>
      <c r="K335" s="28">
        <f>'BUDGET DETAIL'!BF885</f>
        <v>1365197</v>
      </c>
      <c r="L335" s="28">
        <f>'BUDGET DETAIL'!BR885</f>
        <v>1432033</v>
      </c>
      <c r="M335" s="28">
        <f>'BUDGET DETAIL'!BW885</f>
        <v>1547146</v>
      </c>
      <c r="N335" s="28">
        <f>'BUDGET DETAIL'!BZ885</f>
        <v>1547146</v>
      </c>
      <c r="O335" s="28">
        <f>'BUDGET DETAIL'!CA885</f>
        <v>1547146</v>
      </c>
      <c r="P335" s="925">
        <f>(O335-L335)/L335</f>
        <v>8.03843207523849E-2</v>
      </c>
      <c r="Q335" s="159"/>
    </row>
    <row r="336" spans="1:17" ht="9.9" customHeight="1" x14ac:dyDescent="0.3"/>
    <row r="337" spans="1:17" s="1" customFormat="1" x14ac:dyDescent="0.3">
      <c r="A337" s="20"/>
      <c r="B337" s="5"/>
      <c r="C337" s="39"/>
      <c r="D337" s="39"/>
      <c r="E337" s="51"/>
      <c r="F337" s="5"/>
      <c r="G337" s="21" t="s">
        <v>1249</v>
      </c>
      <c r="H337" s="22">
        <f t="shared" ref="H337:O337" si="93">H335</f>
        <v>1056547</v>
      </c>
      <c r="I337" s="22">
        <f t="shared" si="93"/>
        <v>1118667</v>
      </c>
      <c r="J337" s="22">
        <f t="shared" si="93"/>
        <v>1224339</v>
      </c>
      <c r="K337" s="22">
        <f t="shared" si="93"/>
        <v>1365197</v>
      </c>
      <c r="L337" s="22">
        <f t="shared" si="93"/>
        <v>1432033</v>
      </c>
      <c r="M337" s="22">
        <f t="shared" si="93"/>
        <v>1547146</v>
      </c>
      <c r="N337" s="22">
        <f t="shared" si="93"/>
        <v>1547146</v>
      </c>
      <c r="O337" s="22">
        <f t="shared" si="93"/>
        <v>1547146</v>
      </c>
      <c r="P337" s="926">
        <f>(O337-L337)/L337</f>
        <v>8.03843207523849E-2</v>
      </c>
      <c r="Q337" s="158"/>
    </row>
    <row r="338" spans="1:17" ht="26.1" customHeight="1" x14ac:dyDescent="0.3">
      <c r="A338" s="12"/>
      <c r="B338" s="1"/>
      <c r="C338" s="35"/>
      <c r="D338" s="35"/>
    </row>
    <row r="339" spans="1:17" s="1" customFormat="1" ht="15.6" x14ac:dyDescent="0.3">
      <c r="A339" s="14" t="s">
        <v>272</v>
      </c>
      <c r="B339" s="2"/>
      <c r="C339" s="36"/>
      <c r="D339" s="36"/>
      <c r="E339" s="48"/>
      <c r="F339" s="2"/>
      <c r="G339" s="2"/>
      <c r="H339" s="15"/>
      <c r="I339" s="15"/>
      <c r="J339" s="15"/>
      <c r="K339" s="15"/>
      <c r="L339" s="15"/>
      <c r="M339" s="15"/>
      <c r="N339" s="15"/>
      <c r="O339" s="15"/>
      <c r="P339" s="924"/>
      <c r="Q339" s="158"/>
    </row>
    <row r="340" spans="1:17" s="19" customFormat="1" x14ac:dyDescent="0.3">
      <c r="A340" s="27"/>
      <c r="B340" s="8"/>
      <c r="C340" s="42"/>
      <c r="D340" s="42"/>
      <c r="E340" s="54"/>
      <c r="F340" s="8"/>
      <c r="G340" s="57" t="s">
        <v>270</v>
      </c>
      <c r="H340" s="28">
        <f>'BUDGET DETAIL'!S896</f>
        <v>1990370.04</v>
      </c>
      <c r="I340" s="28">
        <f>'BUDGET DETAIL'!AF896</f>
        <v>2116117.0499999998</v>
      </c>
      <c r="J340" s="28">
        <f>'BUDGET DETAIL'!AS896</f>
        <v>2179584.35</v>
      </c>
      <c r="K340" s="28">
        <f>'BUDGET DETAIL'!BF896</f>
        <v>1963534.84</v>
      </c>
      <c r="L340" s="28">
        <f>'BUDGET DETAIL'!BR896</f>
        <v>2273187</v>
      </c>
      <c r="M340" s="28">
        <f>'BUDGET DETAIL'!BW896</f>
        <v>2449187</v>
      </c>
      <c r="N340" s="28">
        <f>'BUDGET DETAIL'!BZ896</f>
        <v>2447187</v>
      </c>
      <c r="O340" s="28">
        <f>'BUDGET DETAIL'!CA896</f>
        <v>2351187</v>
      </c>
      <c r="P340" s="925">
        <f>(O340-L340)/L340</f>
        <v>3.4313059154394247E-2</v>
      </c>
      <c r="Q340" s="159"/>
    </row>
    <row r="341" spans="1:17" ht="9.9" customHeight="1" x14ac:dyDescent="0.3"/>
    <row r="342" spans="1:17" s="1" customFormat="1" x14ac:dyDescent="0.3">
      <c r="A342" s="20"/>
      <c r="B342" s="5"/>
      <c r="C342" s="39"/>
      <c r="D342" s="39"/>
      <c r="E342" s="51"/>
      <c r="F342" s="5"/>
      <c r="G342" s="21" t="s">
        <v>271</v>
      </c>
      <c r="H342" s="22">
        <f t="shared" ref="H342:O342" si="94">H340</f>
        <v>1990370.04</v>
      </c>
      <c r="I342" s="22">
        <f t="shared" si="94"/>
        <v>2116117.0499999998</v>
      </c>
      <c r="J342" s="22">
        <f t="shared" si="94"/>
        <v>2179584.35</v>
      </c>
      <c r="K342" s="22">
        <f t="shared" si="94"/>
        <v>1963534.84</v>
      </c>
      <c r="L342" s="22">
        <f t="shared" si="94"/>
        <v>2273187</v>
      </c>
      <c r="M342" s="22">
        <f t="shared" si="94"/>
        <v>2449187</v>
      </c>
      <c r="N342" s="22">
        <f t="shared" si="94"/>
        <v>2447187</v>
      </c>
      <c r="O342" s="22">
        <f t="shared" si="94"/>
        <v>2351187</v>
      </c>
      <c r="P342" s="926">
        <f>(O342-L342)/L342</f>
        <v>3.4313059154394247E-2</v>
      </c>
      <c r="Q342" s="158"/>
    </row>
    <row r="343" spans="1:17" ht="26.1" customHeight="1" x14ac:dyDescent="0.3">
      <c r="A343" s="12"/>
      <c r="B343" s="1"/>
      <c r="C343" s="35"/>
      <c r="D343" s="35"/>
    </row>
    <row r="344" spans="1:17" s="1" customFormat="1" ht="15.6" x14ac:dyDescent="0.3">
      <c r="A344" s="14" t="s">
        <v>273</v>
      </c>
      <c r="B344" s="2"/>
      <c r="C344" s="36"/>
      <c r="D344" s="36"/>
      <c r="E344" s="48"/>
      <c r="F344" s="2"/>
      <c r="G344" s="2"/>
      <c r="H344" s="15"/>
      <c r="I344" s="15"/>
      <c r="J344" s="15"/>
      <c r="K344" s="15"/>
      <c r="L344" s="15"/>
      <c r="M344" s="15"/>
      <c r="N344" s="15"/>
      <c r="O344" s="15"/>
      <c r="P344" s="924"/>
      <c r="Q344" s="158"/>
    </row>
    <row r="345" spans="1:17" s="19" customFormat="1" x14ac:dyDescent="0.3">
      <c r="A345" s="27"/>
      <c r="B345" s="8"/>
      <c r="C345" s="42"/>
      <c r="D345" s="42"/>
      <c r="E345" s="54"/>
      <c r="F345" s="8"/>
      <c r="G345" s="57" t="s">
        <v>275</v>
      </c>
      <c r="H345" s="28">
        <f>'BUDGET DETAIL'!S905</f>
        <v>312671</v>
      </c>
      <c r="I345" s="28">
        <f>'BUDGET DETAIL'!AF905</f>
        <v>311769.42000000004</v>
      </c>
      <c r="J345" s="28">
        <f>'BUDGET DETAIL'!AS905</f>
        <v>312605.78999999998</v>
      </c>
      <c r="K345" s="28">
        <f>'BUDGET DETAIL'!BF905</f>
        <v>321338.30000000005</v>
      </c>
      <c r="L345" s="28">
        <f>'BUDGET DETAIL'!BR905</f>
        <v>473612</v>
      </c>
      <c r="M345" s="28">
        <f>'BUDGET DETAIL'!BW905</f>
        <v>412500</v>
      </c>
      <c r="N345" s="28">
        <f>'BUDGET DETAIL'!BZ905</f>
        <v>412500</v>
      </c>
      <c r="O345" s="28">
        <f>'BUDGET DETAIL'!CA905</f>
        <v>412500</v>
      </c>
      <c r="P345" s="925">
        <f>(O345-L345)/L345</f>
        <v>-0.12903389272231278</v>
      </c>
      <c r="Q345" s="159"/>
    </row>
    <row r="346" spans="1:17" ht="9.9" customHeight="1" x14ac:dyDescent="0.3"/>
    <row r="347" spans="1:17" s="1" customFormat="1" x14ac:dyDescent="0.3">
      <c r="A347" s="20"/>
      <c r="B347" s="5"/>
      <c r="C347" s="39"/>
      <c r="D347" s="39"/>
      <c r="E347" s="51"/>
      <c r="F347" s="5"/>
      <c r="G347" s="21" t="s">
        <v>274</v>
      </c>
      <c r="H347" s="22">
        <f t="shared" ref="H347:O347" si="95">H345</f>
        <v>312671</v>
      </c>
      <c r="I347" s="22">
        <f t="shared" si="95"/>
        <v>311769.42000000004</v>
      </c>
      <c r="J347" s="22">
        <f t="shared" si="95"/>
        <v>312605.78999999998</v>
      </c>
      <c r="K347" s="22">
        <f t="shared" si="95"/>
        <v>321338.30000000005</v>
      </c>
      <c r="L347" s="22">
        <f t="shared" si="95"/>
        <v>473612</v>
      </c>
      <c r="M347" s="22">
        <f t="shared" si="95"/>
        <v>412500</v>
      </c>
      <c r="N347" s="22">
        <f t="shared" si="95"/>
        <v>412500</v>
      </c>
      <c r="O347" s="22">
        <f t="shared" si="95"/>
        <v>412500</v>
      </c>
      <c r="P347" s="926">
        <f>(O347-L347)/L347</f>
        <v>-0.12903389272231278</v>
      </c>
      <c r="Q347" s="158"/>
    </row>
    <row r="348" spans="1:17" ht="26.1" customHeight="1" x14ac:dyDescent="0.3">
      <c r="A348" s="12"/>
      <c r="B348" s="1"/>
      <c r="C348" s="35"/>
      <c r="D348" s="35"/>
    </row>
    <row r="349" spans="1:17" s="1" customFormat="1" ht="15.6" x14ac:dyDescent="0.3">
      <c r="A349" s="14" t="s">
        <v>276</v>
      </c>
      <c r="B349" s="2"/>
      <c r="C349" s="36"/>
      <c r="D349" s="36"/>
      <c r="E349" s="48"/>
      <c r="F349" s="2"/>
      <c r="G349" s="2"/>
      <c r="H349" s="15"/>
      <c r="I349" s="15"/>
      <c r="J349" s="15"/>
      <c r="K349" s="15"/>
      <c r="L349" s="15"/>
      <c r="M349" s="15"/>
      <c r="N349" s="15"/>
      <c r="O349" s="15"/>
      <c r="P349" s="924"/>
      <c r="Q349" s="158"/>
    </row>
    <row r="350" spans="1:17" s="19" customFormat="1" x14ac:dyDescent="0.3">
      <c r="A350" s="27"/>
      <c r="B350" s="8"/>
      <c r="C350" s="42"/>
      <c r="D350" s="42"/>
      <c r="E350" s="54"/>
      <c r="F350" s="8"/>
      <c r="G350" s="57" t="s">
        <v>276</v>
      </c>
      <c r="H350" s="28">
        <f>'BUDGET DETAIL'!S911</f>
        <v>0</v>
      </c>
      <c r="I350" s="28">
        <f>'BUDGET DETAIL'!AF911</f>
        <v>0</v>
      </c>
      <c r="J350" s="28">
        <f>'BUDGET DETAIL'!AS911</f>
        <v>0</v>
      </c>
      <c r="K350" s="28">
        <f>'BUDGET DETAIL'!BF911</f>
        <v>0</v>
      </c>
      <c r="L350" s="28">
        <f>'BUDGET DETAIL'!BR911</f>
        <v>75000</v>
      </c>
      <c r="M350" s="28">
        <f>'BUDGET DETAIL'!BW911</f>
        <v>25000</v>
      </c>
      <c r="N350" s="28">
        <f>'BUDGET DETAIL'!BZ911</f>
        <v>25000</v>
      </c>
      <c r="O350" s="28">
        <f>'BUDGET DETAIL'!CA911</f>
        <v>10000</v>
      </c>
      <c r="P350" s="925">
        <f>(O350-L350)/L350</f>
        <v>-0.8666666666666667</v>
      </c>
      <c r="Q350" s="159"/>
    </row>
    <row r="351" spans="1:17" ht="9.9" customHeight="1" x14ac:dyDescent="0.3"/>
    <row r="352" spans="1:17" s="1" customFormat="1" x14ac:dyDescent="0.3">
      <c r="A352" s="20"/>
      <c r="B352" s="5"/>
      <c r="C352" s="39"/>
      <c r="D352" s="39"/>
      <c r="E352" s="51"/>
      <c r="F352" s="5"/>
      <c r="G352" s="21" t="s">
        <v>277</v>
      </c>
      <c r="H352" s="22">
        <f t="shared" ref="H352:O352" si="96">SUM(H350)</f>
        <v>0</v>
      </c>
      <c r="I352" s="22">
        <f t="shared" si="96"/>
        <v>0</v>
      </c>
      <c r="J352" s="22">
        <f t="shared" si="96"/>
        <v>0</v>
      </c>
      <c r="K352" s="22">
        <f t="shared" si="96"/>
        <v>0</v>
      </c>
      <c r="L352" s="22">
        <f t="shared" si="96"/>
        <v>75000</v>
      </c>
      <c r="M352" s="22">
        <f t="shared" si="96"/>
        <v>25000</v>
      </c>
      <c r="N352" s="22">
        <f t="shared" si="96"/>
        <v>25000</v>
      </c>
      <c r="O352" s="22">
        <f t="shared" si="96"/>
        <v>10000</v>
      </c>
      <c r="P352" s="926">
        <f>(O352-L352)/L352</f>
        <v>-0.8666666666666667</v>
      </c>
      <c r="Q352" s="158"/>
    </row>
    <row r="353" spans="1:17" ht="26.1" customHeight="1" x14ac:dyDescent="0.3">
      <c r="A353" s="12"/>
      <c r="B353" s="1"/>
      <c r="C353" s="35"/>
      <c r="D353" s="35"/>
    </row>
    <row r="354" spans="1:17" s="1" customFormat="1" ht="20.100000000000001" customHeight="1" x14ac:dyDescent="0.3">
      <c r="A354" s="58" t="s">
        <v>353</v>
      </c>
      <c r="B354" s="59"/>
      <c r="C354" s="60"/>
      <c r="D354" s="60"/>
      <c r="E354" s="61"/>
      <c r="F354" s="59"/>
      <c r="G354" s="59"/>
      <c r="H354" s="62">
        <f t="shared" ref="H354:O354" si="97">H332+H337+H342+H347+H352</f>
        <v>3660118.04</v>
      </c>
      <c r="I354" s="62">
        <f t="shared" si="97"/>
        <v>3843205.4699999997</v>
      </c>
      <c r="J354" s="62">
        <f t="shared" si="97"/>
        <v>3923945.14</v>
      </c>
      <c r="K354" s="62">
        <f t="shared" si="97"/>
        <v>3859376.1399999997</v>
      </c>
      <c r="L354" s="62">
        <f t="shared" si="97"/>
        <v>4253832</v>
      </c>
      <c r="M354" s="62">
        <f t="shared" si="97"/>
        <v>4433833</v>
      </c>
      <c r="N354" s="62">
        <f t="shared" si="97"/>
        <v>4431833</v>
      </c>
      <c r="O354" s="62">
        <f t="shared" si="97"/>
        <v>4320833</v>
      </c>
      <c r="P354" s="927">
        <f>(O354-L354)/L354</f>
        <v>1.5750739568464386E-2</v>
      </c>
      <c r="Q354" s="158"/>
    </row>
    <row r="355" spans="1:17" ht="26.1" customHeight="1" x14ac:dyDescent="0.3">
      <c r="A355" s="12"/>
      <c r="B355" s="1"/>
      <c r="C355" s="35"/>
      <c r="D355" s="35"/>
    </row>
    <row r="356" spans="1:17" s="1" customFormat="1" ht="20.100000000000001" customHeight="1" thickBot="1" x14ac:dyDescent="0.35">
      <c r="A356" s="65" t="s">
        <v>368</v>
      </c>
      <c r="B356" s="66"/>
      <c r="C356" s="67"/>
      <c r="D356" s="67"/>
      <c r="E356" s="68"/>
      <c r="F356" s="66"/>
      <c r="G356" s="66"/>
      <c r="H356" s="69">
        <f t="shared" ref="H356:O356" si="98">H354+H325+H317+H279+H248+H189+H177+H115</f>
        <v>25878383.779999997</v>
      </c>
      <c r="I356" s="69">
        <f t="shared" si="98"/>
        <v>27312142.809999999</v>
      </c>
      <c r="J356" s="69">
        <f t="shared" si="98"/>
        <v>28317903.240000002</v>
      </c>
      <c r="K356" s="69">
        <f t="shared" si="98"/>
        <v>28904443.610000003</v>
      </c>
      <c r="L356" s="69">
        <f t="shared" si="98"/>
        <v>31105124</v>
      </c>
      <c r="M356" s="69">
        <f t="shared" si="98"/>
        <v>31782984</v>
      </c>
      <c r="N356" s="69">
        <f t="shared" si="98"/>
        <v>31780984</v>
      </c>
      <c r="O356" s="69">
        <f t="shared" si="98"/>
        <v>31934835</v>
      </c>
      <c r="P356" s="397">
        <f>(O356-L356)/L356</f>
        <v>2.667441544357772E-2</v>
      </c>
      <c r="Q356" s="158"/>
    </row>
    <row r="357" spans="1:17" s="1" customFormat="1" ht="20.100000000000001" customHeight="1" x14ac:dyDescent="0.3">
      <c r="A357" s="33"/>
      <c r="B357" s="10"/>
      <c r="C357" s="44"/>
      <c r="D357" s="44"/>
      <c r="E357" s="55"/>
      <c r="F357" s="10"/>
      <c r="G357" s="10"/>
      <c r="H357" s="34"/>
      <c r="I357" s="34"/>
      <c r="J357" s="34"/>
      <c r="K357" s="34"/>
      <c r="L357" s="34"/>
      <c r="M357" s="34"/>
      <c r="N357" s="34"/>
      <c r="O357" s="34"/>
      <c r="P357" s="397"/>
      <c r="Q357" s="158"/>
    </row>
    <row r="358" spans="1:17" s="1" customFormat="1" ht="20.100000000000001" customHeight="1" x14ac:dyDescent="0.3">
      <c r="A358" s="33"/>
      <c r="B358" s="10"/>
      <c r="C358" s="44"/>
      <c r="D358" s="44"/>
      <c r="E358" s="55"/>
      <c r="F358" s="10"/>
      <c r="G358" s="10"/>
      <c r="H358" s="34"/>
      <c r="I358" s="34"/>
      <c r="J358" s="34"/>
      <c r="K358" s="34"/>
      <c r="L358" s="34"/>
      <c r="M358" s="34"/>
      <c r="N358" s="34"/>
      <c r="O358" s="34"/>
      <c r="P358" s="397"/>
      <c r="Q358" s="158"/>
    </row>
    <row r="359" spans="1:17" s="1" customFormat="1" ht="20.100000000000001" customHeight="1" x14ac:dyDescent="0.3">
      <c r="A359" s="63" t="s">
        <v>354</v>
      </c>
      <c r="B359" s="59"/>
      <c r="C359" s="60"/>
      <c r="D359" s="60"/>
      <c r="E359" s="61"/>
      <c r="F359" s="59"/>
      <c r="G359" s="59"/>
      <c r="H359" s="62"/>
      <c r="I359" s="62"/>
      <c r="J359" s="62"/>
      <c r="K359" s="62"/>
      <c r="L359" s="62"/>
      <c r="M359" s="62"/>
      <c r="N359" s="62"/>
      <c r="O359" s="62"/>
      <c r="P359" s="923"/>
      <c r="Q359" s="158"/>
    </row>
    <row r="360" spans="1:17" s="1" customFormat="1" ht="15.6" x14ac:dyDescent="0.3">
      <c r="A360" s="14" t="s">
        <v>354</v>
      </c>
      <c r="B360" s="2"/>
      <c r="C360" s="36"/>
      <c r="D360" s="36"/>
      <c r="E360" s="48"/>
      <c r="F360" s="2"/>
      <c r="G360" s="2"/>
      <c r="H360" s="15"/>
      <c r="I360" s="15"/>
      <c r="J360" s="15"/>
      <c r="K360" s="15"/>
      <c r="L360" s="15"/>
      <c r="M360" s="15"/>
      <c r="N360" s="15"/>
      <c r="O360" s="15"/>
      <c r="P360" s="924"/>
      <c r="Q360" s="158"/>
    </row>
    <row r="361" spans="1:17" x14ac:dyDescent="0.3">
      <c r="B361" s="3" t="s">
        <v>2</v>
      </c>
      <c r="F361" s="3" t="s">
        <v>2</v>
      </c>
      <c r="G361" s="3" t="s">
        <v>974</v>
      </c>
      <c r="I361" s="16">
        <f>'BUDGET DETAIL'!AF916</f>
        <v>99000</v>
      </c>
      <c r="J361" s="16">
        <f>'BUDGET DETAIL'!AS916</f>
        <v>0</v>
      </c>
      <c r="K361" s="16">
        <f>'BUDGET DETAIL'!BF916</f>
        <v>0</v>
      </c>
      <c r="L361" s="16">
        <f>'BUDGET DETAIL'!BR916</f>
        <v>0</v>
      </c>
      <c r="M361" s="16">
        <f>'BUDGET DETAIL'!BW916</f>
        <v>0</v>
      </c>
      <c r="N361" s="16">
        <f>'BUDGET DETAIL'!BZ916</f>
        <v>0</v>
      </c>
      <c r="O361" s="16">
        <f>'BUDGET DETAIL'!CA916</f>
        <v>0</v>
      </c>
    </row>
    <row r="362" spans="1:17" x14ac:dyDescent="0.3">
      <c r="B362" s="3" t="s">
        <v>2</v>
      </c>
      <c r="F362" s="3" t="s">
        <v>2</v>
      </c>
      <c r="G362" s="3" t="s">
        <v>852</v>
      </c>
      <c r="H362" s="16">
        <v>60000</v>
      </c>
      <c r="I362" s="16">
        <f>'BUDGET DETAIL'!AF917</f>
        <v>15000</v>
      </c>
      <c r="J362" s="16">
        <f>'BUDGET DETAIL'!AS917</f>
        <v>15000</v>
      </c>
      <c r="K362" s="16">
        <f>'BUDGET DETAIL'!BF917</f>
        <v>0</v>
      </c>
      <c r="L362" s="16">
        <f>'BUDGET DETAIL'!BR917</f>
        <v>0</v>
      </c>
      <c r="M362" s="16">
        <f>'BUDGET DETAIL'!BW917</f>
        <v>0</v>
      </c>
      <c r="N362" s="16">
        <f>'BUDGET DETAIL'!BZ917</f>
        <v>0</v>
      </c>
      <c r="O362" s="16">
        <f>'BUDGET DETAIL'!CA917</f>
        <v>0</v>
      </c>
    </row>
    <row r="363" spans="1:17" x14ac:dyDescent="0.3">
      <c r="G363" s="3" t="s">
        <v>853</v>
      </c>
      <c r="H363" s="16">
        <v>50000</v>
      </c>
      <c r="I363" s="16">
        <f>'BUDGET DETAIL'!AF918</f>
        <v>0</v>
      </c>
      <c r="J363" s="16">
        <f>'BUDGET DETAIL'!AS918</f>
        <v>45200</v>
      </c>
      <c r="K363" s="16">
        <f>'BUDGET DETAIL'!BF918</f>
        <v>100000</v>
      </c>
      <c r="L363" s="16">
        <f>'BUDGET DETAIL'!BR918</f>
        <v>0</v>
      </c>
      <c r="M363" s="16">
        <f>'BUDGET DETAIL'!BW918</f>
        <v>0</v>
      </c>
      <c r="N363" s="16">
        <f>'BUDGET DETAIL'!BZ918</f>
        <v>0</v>
      </c>
      <c r="O363" s="16">
        <f>'BUDGET DETAIL'!CA918</f>
        <v>0</v>
      </c>
    </row>
    <row r="364" spans="1:17" x14ac:dyDescent="0.3">
      <c r="G364" s="3" t="s">
        <v>854</v>
      </c>
      <c r="H364" s="16">
        <v>40109</v>
      </c>
      <c r="I364" s="16">
        <f>'BUDGET DETAIL'!AF919</f>
        <v>0</v>
      </c>
      <c r="J364" s="16">
        <f>'BUDGET DETAIL'!AS919</f>
        <v>15000</v>
      </c>
      <c r="K364" s="16">
        <f>'BUDGET DETAIL'!BF919</f>
        <v>15000</v>
      </c>
      <c r="L364" s="16">
        <f>'BUDGET DETAIL'!BR919</f>
        <v>20000</v>
      </c>
      <c r="M364" s="16">
        <f>'BUDGET DETAIL'!BW919</f>
        <v>0</v>
      </c>
      <c r="N364" s="16">
        <f>'BUDGET DETAIL'!BZ919</f>
        <v>0</v>
      </c>
      <c r="O364" s="16">
        <f>'BUDGET DETAIL'!CA919</f>
        <v>0</v>
      </c>
    </row>
    <row r="365" spans="1:17" s="19" customFormat="1" x14ac:dyDescent="0.3">
      <c r="A365" s="27"/>
      <c r="B365" s="8"/>
      <c r="C365" s="42"/>
      <c r="D365" s="42"/>
      <c r="E365" s="54"/>
      <c r="F365" s="8"/>
      <c r="G365" s="57" t="s">
        <v>355</v>
      </c>
      <c r="H365" s="28">
        <f t="shared" ref="H365" si="99">SUM(H361:H364)</f>
        <v>150109</v>
      </c>
      <c r="I365" s="28">
        <f t="shared" ref="I365:J365" si="100">SUM(I361:I364)</f>
        <v>114000</v>
      </c>
      <c r="J365" s="28">
        <f t="shared" si="100"/>
        <v>75200</v>
      </c>
      <c r="K365" s="28">
        <f t="shared" ref="K365:L365" si="101">SUM(K361:K364)</f>
        <v>115000</v>
      </c>
      <c r="L365" s="28">
        <f t="shared" si="101"/>
        <v>20000</v>
      </c>
      <c r="M365" s="28">
        <f t="shared" ref="M365:O365" si="102">SUM(M361:M364)</f>
        <v>0</v>
      </c>
      <c r="N365" s="28">
        <f t="shared" si="102"/>
        <v>0</v>
      </c>
      <c r="O365" s="28">
        <f t="shared" si="102"/>
        <v>0</v>
      </c>
      <c r="P365" s="925">
        <f>(O365-L365)/L365</f>
        <v>-1</v>
      </c>
      <c r="Q365" s="159"/>
    </row>
    <row r="366" spans="1:17" ht="9.9" customHeight="1" x14ac:dyDescent="0.3"/>
    <row r="367" spans="1:17" s="1" customFormat="1" x14ac:dyDescent="0.3">
      <c r="A367" s="20"/>
      <c r="B367" s="5"/>
      <c r="C367" s="39"/>
      <c r="D367" s="39"/>
      <c r="E367" s="51"/>
      <c r="F367" s="5"/>
      <c r="G367" s="21" t="s">
        <v>356</v>
      </c>
      <c r="H367" s="22">
        <f t="shared" ref="H367:O367" si="103">H365</f>
        <v>150109</v>
      </c>
      <c r="I367" s="22">
        <f t="shared" si="103"/>
        <v>114000</v>
      </c>
      <c r="J367" s="22">
        <f t="shared" si="103"/>
        <v>75200</v>
      </c>
      <c r="K367" s="22">
        <f t="shared" si="103"/>
        <v>115000</v>
      </c>
      <c r="L367" s="22">
        <f t="shared" si="103"/>
        <v>20000</v>
      </c>
      <c r="M367" s="22">
        <f t="shared" si="103"/>
        <v>0</v>
      </c>
      <c r="N367" s="22">
        <f t="shared" si="103"/>
        <v>0</v>
      </c>
      <c r="O367" s="22">
        <f t="shared" si="103"/>
        <v>0</v>
      </c>
      <c r="P367" s="926">
        <f>(O367-L367)/L367</f>
        <v>-1</v>
      </c>
      <c r="Q367" s="158"/>
    </row>
    <row r="368" spans="1:17" s="1" customFormat="1" ht="20.100000000000001" customHeight="1" x14ac:dyDescent="0.3">
      <c r="A368" s="58" t="s">
        <v>585</v>
      </c>
      <c r="B368" s="59"/>
      <c r="C368" s="60"/>
      <c r="D368" s="60"/>
      <c r="E368" s="61"/>
      <c r="F368" s="59"/>
      <c r="G368" s="59"/>
      <c r="H368" s="62">
        <f t="shared" ref="H368:O368" si="104">SUM(H367)</f>
        <v>150109</v>
      </c>
      <c r="I368" s="62">
        <f t="shared" si="104"/>
        <v>114000</v>
      </c>
      <c r="J368" s="62">
        <f t="shared" si="104"/>
        <v>75200</v>
      </c>
      <c r="K368" s="62">
        <f t="shared" si="104"/>
        <v>115000</v>
      </c>
      <c r="L368" s="62">
        <f t="shared" si="104"/>
        <v>20000</v>
      </c>
      <c r="M368" s="62">
        <f t="shared" si="104"/>
        <v>0</v>
      </c>
      <c r="N368" s="62">
        <f t="shared" si="104"/>
        <v>0</v>
      </c>
      <c r="O368" s="62">
        <f t="shared" si="104"/>
        <v>0</v>
      </c>
      <c r="P368" s="927">
        <f>(O368-L368)/L368</f>
        <v>-1</v>
      </c>
      <c r="Q368" s="158"/>
    </row>
    <row r="369" spans="1:18" s="1" customFormat="1" ht="20.100000000000001" customHeight="1" x14ac:dyDescent="0.3">
      <c r="A369" s="64"/>
      <c r="B369" s="10"/>
      <c r="C369" s="44"/>
      <c r="D369" s="44"/>
      <c r="E369" s="55"/>
      <c r="F369" s="10"/>
      <c r="G369" s="10"/>
      <c r="H369" s="34"/>
      <c r="I369" s="34"/>
      <c r="J369" s="34"/>
      <c r="K369" s="34"/>
      <c r="L369" s="34"/>
      <c r="M369" s="34"/>
      <c r="N369" s="34"/>
      <c r="O369" s="34"/>
      <c r="P369" s="397"/>
      <c r="Q369" s="158"/>
    </row>
    <row r="370" spans="1:18" s="1" customFormat="1" ht="20.100000000000001" customHeight="1" thickBot="1" x14ac:dyDescent="0.35">
      <c r="A370" s="70" t="s">
        <v>367</v>
      </c>
      <c r="B370" s="71"/>
      <c r="C370" s="72"/>
      <c r="D370" s="72"/>
      <c r="E370" s="73"/>
      <c r="F370" s="71"/>
      <c r="G370" s="71"/>
      <c r="H370" s="74">
        <f t="shared" ref="H370:O370" si="105">H368+H356</f>
        <v>26028492.779999997</v>
      </c>
      <c r="I370" s="74">
        <f t="shared" si="105"/>
        <v>27426142.809999999</v>
      </c>
      <c r="J370" s="74">
        <f t="shared" si="105"/>
        <v>28393103.240000002</v>
      </c>
      <c r="K370" s="74">
        <f t="shared" ref="K370" si="106">K368+K356</f>
        <v>29019443.610000003</v>
      </c>
      <c r="L370" s="74">
        <f t="shared" ref="L370" si="107">L368+L356</f>
        <v>31125124</v>
      </c>
      <c r="M370" s="74">
        <f t="shared" si="105"/>
        <v>31782984</v>
      </c>
      <c r="N370" s="74">
        <f t="shared" si="105"/>
        <v>31780984</v>
      </c>
      <c r="O370" s="74">
        <f t="shared" si="105"/>
        <v>31934835</v>
      </c>
      <c r="P370" s="932">
        <f>(M370-L370)/L370</f>
        <v>2.113598005264172E-2</v>
      </c>
      <c r="Q370" s="158"/>
      <c r="R370" s="26"/>
    </row>
    <row r="371" spans="1:18" s="1" customFormat="1" ht="20.100000000000001" customHeight="1" thickTop="1" x14ac:dyDescent="0.3">
      <c r="A371" s="33"/>
      <c r="B371" s="10"/>
      <c r="C371" s="44"/>
      <c r="D371" s="44"/>
      <c r="E371" s="55"/>
      <c r="F371" s="10"/>
      <c r="G371" s="10"/>
      <c r="H371" s="34"/>
      <c r="I371" s="34"/>
      <c r="J371" s="305"/>
      <c r="K371" s="34"/>
      <c r="L371" s="34"/>
      <c r="M371" s="34"/>
      <c r="N371" s="34"/>
      <c r="O371" s="34"/>
      <c r="P371" s="397"/>
      <c r="Q371" s="158"/>
      <c r="R371" s="26"/>
    </row>
    <row r="372" spans="1:18" x14ac:dyDescent="0.3">
      <c r="I372" s="3"/>
      <c r="J372" s="3"/>
    </row>
    <row r="373" spans="1:18" x14ac:dyDescent="0.3">
      <c r="I373" s="3"/>
      <c r="J373" s="3"/>
    </row>
    <row r="374" spans="1:18" x14ac:dyDescent="0.3">
      <c r="I374" s="3"/>
      <c r="J374" s="3"/>
    </row>
    <row r="375" spans="1:18" x14ac:dyDescent="0.3">
      <c r="G375" s="3" t="s">
        <v>1251</v>
      </c>
      <c r="H375" s="16">
        <f>'BUDGET DETAIL'!S931</f>
        <v>26028492.779999997</v>
      </c>
      <c r="I375" s="16">
        <f>'BUDGET DETAIL'!AF926</f>
        <v>27426142.809999999</v>
      </c>
      <c r="J375" s="16">
        <f>'BUDGET DETAIL'!AS926</f>
        <v>28393103.240000002</v>
      </c>
      <c r="K375" s="16">
        <f>'BUDGET DETAIL'!BF926</f>
        <v>29019443.610000003</v>
      </c>
      <c r="L375" s="16">
        <f>'BUDGET DETAIL'!BR926</f>
        <v>31125124</v>
      </c>
      <c r="M375" s="16">
        <f>'BUDGET DETAIL'!BW926</f>
        <v>31782984</v>
      </c>
      <c r="N375" s="16">
        <f>'BUDGET DETAIL'!BZ926</f>
        <v>31780984</v>
      </c>
      <c r="O375" s="16">
        <f>'BUDGET DETAIL'!CA926</f>
        <v>31934835</v>
      </c>
    </row>
    <row r="376" spans="1:18" x14ac:dyDescent="0.3">
      <c r="H376" s="16">
        <f t="shared" ref="H376:O376" si="108">H370-H375</f>
        <v>0</v>
      </c>
      <c r="I376" s="16">
        <f t="shared" si="108"/>
        <v>0</v>
      </c>
      <c r="J376" s="16">
        <f t="shared" si="108"/>
        <v>0</v>
      </c>
      <c r="K376" s="16">
        <f t="shared" si="108"/>
        <v>0</v>
      </c>
      <c r="L376" s="16">
        <f t="shared" si="108"/>
        <v>0</v>
      </c>
      <c r="M376" s="16">
        <f t="shared" si="108"/>
        <v>0</v>
      </c>
      <c r="N376" s="16">
        <f t="shared" si="108"/>
        <v>0</v>
      </c>
      <c r="O376" s="16">
        <f t="shared" si="108"/>
        <v>0</v>
      </c>
    </row>
  </sheetData>
  <sheetProtection selectLockedCells="1" selectUnlockedCells="1"/>
  <mergeCells count="1">
    <mergeCell ref="A1:P1"/>
  </mergeCells>
  <printOptions horizontalCentered="1"/>
  <pageMargins left="0.15" right="0.15" top="0.5" bottom="0.5" header="0.25" footer="0.25"/>
  <pageSetup scale="75" orientation="portrait" r:id="rId1"/>
  <headerFooter>
    <oddHeader>&amp;CFY23 BUDGET - &amp;A&amp;RPage &amp;P of &amp;N</oddHeader>
    <oddFooter>&amp;L&amp;12March 29, 2022&amp;R&amp;12&amp;F / &amp;A</oddFooter>
  </headerFooter>
  <rowBreaks count="7" manualBreakCount="7">
    <brk id="62" max="16383" man="1"/>
    <brk id="117" max="16383" man="1"/>
    <brk id="177" max="16383" man="1"/>
    <brk id="191" max="16383" man="1"/>
    <brk id="249" max="16383" man="1"/>
    <brk id="281" max="16383" man="1"/>
    <brk id="31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pageSetUpPr fitToPage="1"/>
  </sheetPr>
  <dimension ref="A1:Z80"/>
  <sheetViews>
    <sheetView workbookViewId="0">
      <pane xSplit="2" ySplit="5" topLeftCell="C38" activePane="bottomRight" state="frozen"/>
      <selection activeCell="J29" sqref="J29"/>
      <selection pane="topRight" activeCell="J29" sqref="J29"/>
      <selection pane="bottomLeft" activeCell="J29" sqref="J29"/>
      <selection pane="bottomRight" activeCell="V60" sqref="V60"/>
    </sheetView>
  </sheetViews>
  <sheetFormatPr defaultRowHeight="14.4" x14ac:dyDescent="0.3"/>
  <cols>
    <col min="1" max="1" width="4" customWidth="1"/>
    <col min="2" max="2" width="10" customWidth="1"/>
    <col min="3" max="3" width="8.6640625" customWidth="1"/>
    <col min="4" max="5" width="14.6640625" hidden="1" customWidth="1"/>
    <col min="6" max="9" width="15.33203125" hidden="1" customWidth="1"/>
    <col min="10" max="10" width="1.6640625" style="84" hidden="1" customWidth="1"/>
    <col min="11" max="11" width="15.33203125" style="84" hidden="1" customWidth="1"/>
    <col min="12" max="12" width="1.6640625" style="87" hidden="1" customWidth="1"/>
    <col min="13" max="13" width="15.33203125" style="285" customWidth="1"/>
    <col min="14" max="14" width="1.6640625" style="87" customWidth="1"/>
    <col min="15" max="15" width="15.33203125" style="285" customWidth="1"/>
    <col min="16" max="16" width="1.6640625" style="87" customWidth="1"/>
    <col min="17" max="17" width="15.33203125" style="285" customWidth="1"/>
    <col min="18" max="18" width="1.6640625" style="87" customWidth="1"/>
    <col min="19" max="19" width="15.33203125" style="84" customWidth="1"/>
    <col min="20" max="21" width="15.33203125" style="285" customWidth="1"/>
    <col min="22" max="22" width="11.6640625" customWidth="1"/>
    <col min="27" max="27" width="9.44140625" customWidth="1"/>
  </cols>
  <sheetData>
    <row r="1" spans="1:26" s="3" customFormat="1" ht="18" x14ac:dyDescent="0.3">
      <c r="A1" s="1015" t="s">
        <v>1250</v>
      </c>
      <c r="B1" s="1015"/>
      <c r="C1" s="1015"/>
      <c r="D1" s="1015"/>
      <c r="E1" s="1015"/>
      <c r="F1" s="1015"/>
      <c r="G1" s="1015"/>
      <c r="H1" s="1015"/>
      <c r="I1" s="1015"/>
      <c r="J1" s="1015"/>
      <c r="K1" s="1015"/>
      <c r="L1" s="1015"/>
      <c r="M1" s="1015"/>
      <c r="N1" s="1015"/>
      <c r="O1" s="1015"/>
      <c r="P1" s="1015"/>
      <c r="Q1" s="1015"/>
      <c r="R1" s="1015"/>
      <c r="S1" s="1015"/>
      <c r="T1" s="1015"/>
      <c r="U1" s="1015"/>
      <c r="V1" s="189"/>
      <c r="W1" s="189"/>
      <c r="X1" s="189"/>
      <c r="Y1" s="189"/>
      <c r="Z1" s="157"/>
    </row>
    <row r="2" spans="1:26" s="3" customFormat="1" ht="18" x14ac:dyDescent="0.3">
      <c r="A2" s="189"/>
      <c r="B2" s="189"/>
      <c r="C2" s="189"/>
      <c r="D2" s="189"/>
      <c r="E2" s="189"/>
      <c r="F2" s="189"/>
      <c r="G2" s="189"/>
      <c r="H2" s="189"/>
      <c r="I2" s="189"/>
      <c r="J2" s="189"/>
      <c r="K2" s="189"/>
      <c r="L2" s="189"/>
      <c r="M2" s="189"/>
      <c r="N2" s="189"/>
      <c r="O2" s="189"/>
      <c r="P2" s="189"/>
      <c r="Q2" s="189"/>
      <c r="R2" s="189"/>
      <c r="S2" s="189"/>
      <c r="T2" s="189"/>
      <c r="U2" s="189"/>
      <c r="V2" s="189"/>
      <c r="W2" s="189"/>
      <c r="X2" s="189"/>
      <c r="Y2" s="189"/>
      <c r="Z2" s="157"/>
    </row>
    <row r="3" spans="1:26" ht="21" x14ac:dyDescent="0.4">
      <c r="A3" s="1016" t="s">
        <v>470</v>
      </c>
      <c r="B3" s="1016"/>
      <c r="C3" s="1016"/>
      <c r="D3" s="1016"/>
      <c r="E3" s="1016"/>
      <c r="F3" s="1016"/>
      <c r="G3" s="1016"/>
      <c r="H3" s="1016"/>
      <c r="I3" s="1016"/>
      <c r="J3" s="1016"/>
      <c r="K3" s="1016"/>
      <c r="L3" s="1016"/>
      <c r="M3" s="1016"/>
      <c r="N3" s="1016"/>
      <c r="O3" s="1016"/>
      <c r="P3" s="1016"/>
      <c r="Q3" s="1016"/>
      <c r="R3" s="1016"/>
      <c r="S3" s="1016"/>
      <c r="T3" s="1016"/>
      <c r="U3" s="1016"/>
    </row>
    <row r="5" spans="1:26" x14ac:dyDescent="0.3">
      <c r="A5" s="84"/>
      <c r="B5" s="84"/>
      <c r="C5" s="84"/>
      <c r="D5" s="85" t="s">
        <v>471</v>
      </c>
      <c r="E5" s="85" t="s">
        <v>472</v>
      </c>
      <c r="F5" s="85" t="s">
        <v>473</v>
      </c>
      <c r="G5" s="85" t="s">
        <v>474</v>
      </c>
      <c r="H5" s="85" t="s">
        <v>689</v>
      </c>
      <c r="I5" s="210" t="s">
        <v>1256</v>
      </c>
      <c r="J5" s="210"/>
      <c r="K5" s="210" t="s">
        <v>1257</v>
      </c>
      <c r="L5" s="180"/>
      <c r="M5" s="210" t="s">
        <v>1258</v>
      </c>
      <c r="N5" s="210"/>
      <c r="O5" s="210" t="s">
        <v>1255</v>
      </c>
      <c r="P5" s="180"/>
      <c r="Q5" s="210" t="s">
        <v>1259</v>
      </c>
      <c r="R5" s="180"/>
      <c r="S5" s="183" t="s">
        <v>1260</v>
      </c>
      <c r="T5" s="183" t="s">
        <v>1261</v>
      </c>
      <c r="U5" s="183" t="s">
        <v>1262</v>
      </c>
    </row>
    <row r="7" spans="1:26" x14ac:dyDescent="0.3">
      <c r="A7" s="93" t="s">
        <v>475</v>
      </c>
      <c r="B7" s="84"/>
      <c r="C7" s="84"/>
      <c r="D7" s="84"/>
      <c r="E7" s="84"/>
      <c r="F7" s="84"/>
      <c r="G7" s="84"/>
      <c r="H7" s="84"/>
      <c r="I7" s="84"/>
    </row>
    <row r="8" spans="1:26" x14ac:dyDescent="0.3">
      <c r="A8" s="84"/>
      <c r="B8" s="84" t="s">
        <v>476</v>
      </c>
      <c r="C8" s="84"/>
      <c r="D8" s="110" t="e">
        <f>Unclassified!#REF!+Unclassified!#REF!+Unclassified!#REF!+Unclassified!#REF!+Unclassified!#REF!+Unclassified!#REF!+Unclassified!#REF!+Unclassified!#REF!+Unclassified!#REF!+Unclassified!#REF!</f>
        <v>#REF!</v>
      </c>
      <c r="E8" s="110" t="e">
        <f>Unclassified!#REF!+Unclassified!#REF!+Unclassified!#REF!+Unclassified!#REF!+Unclassified!#REF!+Unclassified!#REF!+Unclassified!#REF!+Unclassified!#REF!+Unclassified!#REF!+Unclassified!#REF!</f>
        <v>#REF!</v>
      </c>
      <c r="F8" s="110" t="e">
        <f>Unclassified!#REF!+Unclassified!#REF!+Unclassified!#REF!+Unclassified!#REF!+Unclassified!#REF!+Unclassified!#REF!+Unclassified!#REF!+Unclassified!#REF!+Unclassified!#REF!+Unclassified!#REF!</f>
        <v>#REF!</v>
      </c>
      <c r="G8" s="110" t="e">
        <f>Unclassified!#REF!+Unclassified!#REF!+Unclassified!#REF!+Unclassified!#REF!+Unclassified!#REF!+Unclassified!#REF!+Unclassified!#REF!+Unclassified!#REF!+Unclassified!#REF!+Unclassified!#REF!</f>
        <v>#REF!</v>
      </c>
      <c r="H8" s="110" t="e">
        <f>Unclassified!#REF!+Unclassified!#REF!+Unclassified!#REF!+Unclassified!#REF!+Unclassified!#REF!+Unclassified!#REF!+Unclassified!#REF!+Unclassified!#REF!+Unclassified!#REF!+Unclassified!#REF!</f>
        <v>#REF!</v>
      </c>
      <c r="I8" s="110">
        <f>'BUDGET DETAIL'!S7+'BUDGET DETAIL'!S29+'BUDGET DETAIL'!S56+'BUDGET DETAIL'!S76+'BUDGET DETAIL'!S98+'BUDGET DETAIL'!S127+'BUDGET DETAIL'!S190+'BUDGET DETAIL'!S215+'BUDGET DETAIL'!S251+'BUDGET DETAIL'!S258</f>
        <v>869022.1</v>
      </c>
      <c r="J8" s="110"/>
      <c r="K8" s="110">
        <f>'BUDGET DETAIL'!AF7+'BUDGET DETAIL'!AF29+'BUDGET DETAIL'!AF56+'BUDGET DETAIL'!AF76+'BUDGET DETAIL'!AF98+'BUDGET DETAIL'!AF127+'BUDGET DETAIL'!AF190+'BUDGET DETAIL'!AF215+'BUDGET DETAIL'!AF251+'BUDGET DETAIL'!AF258</f>
        <v>1023700.9</v>
      </c>
      <c r="L8" s="181"/>
      <c r="M8" s="110">
        <f>'BUDGET DETAIL'!AS7+'BUDGET DETAIL'!AS29+'BUDGET DETAIL'!AS56+'BUDGET DETAIL'!AS76+'BUDGET DETAIL'!AS98+'BUDGET DETAIL'!AS127+'BUDGET DETAIL'!AS190+'BUDGET DETAIL'!AS215+'BUDGET DETAIL'!AS251+'BUDGET DETAIL'!AS258</f>
        <v>972525.72000000009</v>
      </c>
      <c r="N8" s="181"/>
      <c r="O8" s="110">
        <f>'BUDGET DETAIL'!BF7+'BUDGET DETAIL'!BF29+'BUDGET DETAIL'!BF56+'BUDGET DETAIL'!BF76+'BUDGET DETAIL'!BF98+'BUDGET DETAIL'!BF127+'BUDGET DETAIL'!BF190+'BUDGET DETAIL'!BF215+'BUDGET DETAIL'!BF251+'BUDGET DETAIL'!BF258</f>
        <v>1002023.5800000001</v>
      </c>
      <c r="P8" s="181"/>
      <c r="Q8" s="110">
        <f>'BUDGET DETAIL'!BR7+'BUDGET DETAIL'!BR29+'BUDGET DETAIL'!BR56+'BUDGET DETAIL'!BR76+'BUDGET DETAIL'!BR98+'BUDGET DETAIL'!BR127+'BUDGET DETAIL'!BR190+'BUDGET DETAIL'!BR215+'BUDGET DETAIL'!BR251+'BUDGET DETAIL'!BR258</f>
        <v>1031101</v>
      </c>
      <c r="R8" s="181"/>
      <c r="S8" s="110">
        <f>'BUDGET DETAIL'!BW7+'BUDGET DETAIL'!BW29+'BUDGET DETAIL'!BW56+'BUDGET DETAIL'!BW76+'BUDGET DETAIL'!BW98+'BUDGET DETAIL'!BW127+'BUDGET DETAIL'!BW190+'BUDGET DETAIL'!BW215+'BUDGET DETAIL'!BW251+'BUDGET DETAIL'!BW258</f>
        <v>1045177</v>
      </c>
      <c r="T8" s="110">
        <f>'BUDGET DETAIL'!BZ7+'BUDGET DETAIL'!BZ29+'BUDGET DETAIL'!BZ56+'BUDGET DETAIL'!BZ76+'BUDGET DETAIL'!BZ98+'BUDGET DETAIL'!BZ127+'BUDGET DETAIL'!BZ190+'BUDGET DETAIL'!BZ215+'BUDGET DETAIL'!BZ251+'BUDGET DETAIL'!BZ258</f>
        <v>1045177</v>
      </c>
      <c r="U8" s="110">
        <f>'BUDGET DETAIL'!CA7+'BUDGET DETAIL'!CA29+'BUDGET DETAIL'!CA56+'BUDGET DETAIL'!CA76+'BUDGET DETAIL'!CA98+'BUDGET DETAIL'!CA127+'BUDGET DETAIL'!CA190+'BUDGET DETAIL'!CA215+'BUDGET DETAIL'!CA251+'BUDGET DETAIL'!CA258</f>
        <v>1076599</v>
      </c>
      <c r="V8" s="110"/>
    </row>
    <row r="9" spans="1:26" x14ac:dyDescent="0.3">
      <c r="A9" s="84"/>
      <c r="B9" s="84" t="s">
        <v>477</v>
      </c>
      <c r="C9" s="84"/>
      <c r="D9" s="110" t="e">
        <f>Unclassified!#REF!+Unclassified!#REF!+Unclassified!#REF!+Unclassified!#REF!+Unclassified!#REF!+Unclassified!#REF!+Unclassified!#REF!+Unclassified!#REF!+Unclassified!#REF!+Unclassified!#REF!+Unclassified!#REF!+Unclassified!#REF!+Unclassified!#REF!</f>
        <v>#REF!</v>
      </c>
      <c r="E9" s="110" t="e">
        <f>Unclassified!#REF!+Unclassified!#REF!+Unclassified!#REF!+Unclassified!#REF!+Unclassified!#REF!+Unclassified!#REF!+Unclassified!#REF!+Unclassified!#REF!+Unclassified!#REF!+Unclassified!#REF!+Unclassified!#REF!+Unclassified!#REF!+Unclassified!#REF!</f>
        <v>#REF!</v>
      </c>
      <c r="F9" s="110" t="e">
        <f>Unclassified!#REF!+Unclassified!#REF!+Unclassified!#REF!+Unclassified!#REF!+Unclassified!#REF!+Unclassified!#REF!+Unclassified!#REF!+Unclassified!#REF!+Unclassified!#REF!+Unclassified!#REF!+Unclassified!#REF!+Unclassified!#REF!+Unclassified!#REF!</f>
        <v>#REF!</v>
      </c>
      <c r="G9" s="110" t="e">
        <f>Unclassified!#REF!+Unclassified!#REF!+Unclassified!#REF!+Unclassified!#REF!+Unclassified!#REF!+Unclassified!#REF!+Unclassified!#REF!+Unclassified!#REF!+Unclassified!#REF!+Unclassified!#REF!+Unclassified!#REF!+Unclassified!#REF!+Unclassified!#REF!</f>
        <v>#REF!</v>
      </c>
      <c r="H9" s="110" t="e">
        <f>Unclassified!#REF!+Unclassified!#REF!+Unclassified!#REF!+Unclassified!#REF!+Unclassified!#REF!+Unclassified!#REF!+Unclassified!#REF!+Unclassified!#REF!+Unclassified!#REF!+Unclassified!#REF!+Unclassified!#REF!+Unclassified!#REF!+Unclassified!#REF!</f>
        <v>#REF!</v>
      </c>
      <c r="I9" s="110">
        <f>'BUDGET DETAIL'!S39+'BUDGET DETAIL'!S50+'BUDGET DETAIL'!S62+'BUDGET DETAIL'!S65+'BUDGET DETAIL'!S85+'BUDGET DETAIL'!S113+'BUDGET DETAIL'!S142+'BUDGET DETAIL'!S176+'BUDGET DETAIL'!S182+'BUDGET DETAIL'!S198+'BUDGET DETAIL'!S232+'BUDGET DETAIL'!S267+'BUDGET DETAIL'!S277</f>
        <v>430933.78</v>
      </c>
      <c r="J9" s="110"/>
      <c r="K9" s="110">
        <f>'BUDGET DETAIL'!AF39+'BUDGET DETAIL'!AF50+'BUDGET DETAIL'!AF62+'BUDGET DETAIL'!AF65+'BUDGET DETAIL'!AF85+'BUDGET DETAIL'!AF113+'BUDGET DETAIL'!AF142+'BUDGET DETAIL'!AF176+'BUDGET DETAIL'!AF182+'BUDGET DETAIL'!AF198+'BUDGET DETAIL'!AF232+'BUDGET DETAIL'!AF267+'BUDGET DETAIL'!AF277</f>
        <v>488037.83</v>
      </c>
      <c r="L9" s="181"/>
      <c r="M9" s="110">
        <f>'BUDGET DETAIL'!AS39+'BUDGET DETAIL'!AS50+'BUDGET DETAIL'!AS62+'BUDGET DETAIL'!AS65+'BUDGET DETAIL'!AS85+'BUDGET DETAIL'!AS113+'BUDGET DETAIL'!AS142+'BUDGET DETAIL'!AS176+'BUDGET DETAIL'!AS182+'BUDGET DETAIL'!AS198+'BUDGET DETAIL'!AS232+'BUDGET DETAIL'!AS267+'BUDGET DETAIL'!AS277</f>
        <v>456277.82999999996</v>
      </c>
      <c r="N9" s="181"/>
      <c r="O9" s="110">
        <f>'BUDGET DETAIL'!BF39+'BUDGET DETAIL'!BF50+'BUDGET DETAIL'!BF62+'BUDGET DETAIL'!BF65+'BUDGET DETAIL'!BF85+'BUDGET DETAIL'!BF113+'BUDGET DETAIL'!BF142+'BUDGET DETAIL'!BF176+'BUDGET DETAIL'!BF182+'BUDGET DETAIL'!BF198+'BUDGET DETAIL'!BF232+'BUDGET DETAIL'!BF267+'BUDGET DETAIL'!BF277</f>
        <v>484787.38</v>
      </c>
      <c r="P9" s="181"/>
      <c r="Q9" s="110">
        <f>'BUDGET DETAIL'!BR39+'BUDGET DETAIL'!BR50+'BUDGET DETAIL'!BR62+'BUDGET DETAIL'!BR65+'BUDGET DETAIL'!BR85+'BUDGET DETAIL'!BR113+'BUDGET DETAIL'!BR142+'BUDGET DETAIL'!BR176+'BUDGET DETAIL'!BR182+'BUDGET DETAIL'!BR198+'BUDGET DETAIL'!BR232+'BUDGET DETAIL'!BR267+'BUDGET DETAIL'!BR277</f>
        <v>674859</v>
      </c>
      <c r="R9" s="181"/>
      <c r="S9" s="110">
        <f>'BUDGET DETAIL'!BW39+'BUDGET DETAIL'!BW50+'BUDGET DETAIL'!BW62+'BUDGET DETAIL'!BW65+'BUDGET DETAIL'!BW85+'BUDGET DETAIL'!BW113+'BUDGET DETAIL'!BW142+'BUDGET DETAIL'!BW176+'BUDGET DETAIL'!BW182+'BUDGET DETAIL'!BW198+'BUDGET DETAIL'!BW232+'BUDGET DETAIL'!BW267+'BUDGET DETAIL'!BW277</f>
        <v>674823</v>
      </c>
      <c r="T9" s="110">
        <f>'BUDGET DETAIL'!BZ39+'BUDGET DETAIL'!BZ50+'BUDGET DETAIL'!BZ62+'BUDGET DETAIL'!BZ65+'BUDGET DETAIL'!BZ85+'BUDGET DETAIL'!BZ113+'BUDGET DETAIL'!BZ142+'BUDGET DETAIL'!BZ176+'BUDGET DETAIL'!BZ182+'BUDGET DETAIL'!BZ198+'BUDGET DETAIL'!BZ232+'BUDGET DETAIL'!BZ267+'BUDGET DETAIL'!BZ277</f>
        <v>674823</v>
      </c>
      <c r="U9" s="110">
        <f>'BUDGET DETAIL'!CA39+'BUDGET DETAIL'!CA50+'BUDGET DETAIL'!CA62+'BUDGET DETAIL'!CA65+'BUDGET DETAIL'!CA85+'BUDGET DETAIL'!CA113+'BUDGET DETAIL'!CA142+'BUDGET DETAIL'!CA176+'BUDGET DETAIL'!CA182+'BUDGET DETAIL'!CA198+'BUDGET DETAIL'!CA232+'BUDGET DETAIL'!CA267+'BUDGET DETAIL'!CA277</f>
        <v>682343</v>
      </c>
      <c r="V9" s="110"/>
    </row>
    <row r="10" spans="1:26" x14ac:dyDescent="0.3">
      <c r="A10" s="84"/>
      <c r="B10" s="84" t="s">
        <v>478</v>
      </c>
      <c r="C10" s="84"/>
      <c r="D10" s="84"/>
      <c r="E10" s="84"/>
      <c r="F10" s="84"/>
      <c r="G10" s="84"/>
      <c r="H10" s="84"/>
      <c r="I10" s="84"/>
      <c r="K10" s="285"/>
      <c r="S10" s="285"/>
      <c r="V10" s="110"/>
    </row>
    <row r="11" spans="1:26" x14ac:dyDescent="0.3">
      <c r="A11" s="84"/>
      <c r="B11" s="86"/>
      <c r="C11" s="86" t="s">
        <v>479</v>
      </c>
      <c r="D11" s="88" t="e">
        <f t="shared" ref="D11:I11" si="0">SUM(D8:D10)</f>
        <v>#REF!</v>
      </c>
      <c r="E11" s="88" t="e">
        <f t="shared" si="0"/>
        <v>#REF!</v>
      </c>
      <c r="F11" s="88" t="e">
        <f t="shared" si="0"/>
        <v>#REF!</v>
      </c>
      <c r="G11" s="88" t="e">
        <f t="shared" si="0"/>
        <v>#REF!</v>
      </c>
      <c r="H11" s="88" t="e">
        <f t="shared" si="0"/>
        <v>#REF!</v>
      </c>
      <c r="I11" s="88">
        <f t="shared" si="0"/>
        <v>1299955.8799999999</v>
      </c>
      <c r="J11" s="88"/>
      <c r="K11" s="88">
        <f t="shared" ref="K11" si="1">SUM(K8:K10)</f>
        <v>1511738.73</v>
      </c>
      <c r="L11" s="179"/>
      <c r="M11" s="88">
        <f t="shared" ref="M11:O11" si="2">SUM(M8:M10)</f>
        <v>1428803.55</v>
      </c>
      <c r="N11" s="179"/>
      <c r="O11" s="88">
        <f t="shared" si="2"/>
        <v>1486810.96</v>
      </c>
      <c r="P11" s="179"/>
      <c r="Q11" s="88">
        <f t="shared" ref="Q11" si="3">SUM(Q8:Q10)</f>
        <v>1705960</v>
      </c>
      <c r="R11" s="179"/>
      <c r="S11" s="88">
        <f t="shared" ref="S11" si="4">SUM(S8:S10)</f>
        <v>1720000</v>
      </c>
      <c r="T11" s="88">
        <f t="shared" ref="T11:U11" si="5">SUM(T8:T10)</f>
        <v>1720000</v>
      </c>
      <c r="U11" s="88">
        <f t="shared" si="5"/>
        <v>1758942</v>
      </c>
      <c r="V11" s="110"/>
    </row>
    <row r="12" spans="1:26" x14ac:dyDescent="0.3">
      <c r="A12" s="84"/>
      <c r="B12" s="87"/>
      <c r="C12" s="87"/>
      <c r="D12" s="111"/>
      <c r="E12" s="111"/>
      <c r="F12" s="111"/>
      <c r="G12" s="111"/>
      <c r="H12" s="111"/>
      <c r="I12" s="111"/>
      <c r="J12" s="111"/>
      <c r="K12" s="111"/>
      <c r="L12" s="111"/>
      <c r="M12" s="111"/>
      <c r="N12" s="111"/>
      <c r="O12" s="111"/>
      <c r="P12" s="111"/>
      <c r="Q12" s="111"/>
      <c r="R12" s="111"/>
      <c r="S12" s="111"/>
      <c r="T12" s="111"/>
      <c r="U12" s="111"/>
      <c r="V12" s="110"/>
    </row>
    <row r="13" spans="1:26" x14ac:dyDescent="0.3">
      <c r="A13" s="93" t="s">
        <v>480</v>
      </c>
      <c r="B13" s="84"/>
      <c r="C13" s="84"/>
      <c r="D13" s="84"/>
      <c r="E13" s="84"/>
      <c r="F13" s="84"/>
      <c r="G13" s="84"/>
      <c r="H13" s="84"/>
      <c r="I13" s="84"/>
      <c r="K13" s="285"/>
      <c r="S13" s="285"/>
      <c r="V13" s="110"/>
    </row>
    <row r="14" spans="1:26" x14ac:dyDescent="0.3">
      <c r="A14" s="84"/>
      <c r="B14" s="84" t="s">
        <v>476</v>
      </c>
      <c r="C14" s="84"/>
      <c r="D14" s="110" t="e">
        <f>Unclassified!#REF!+Unclassified!#REF!+Unclassified!#REF!+Unclassified!#REF!+Unclassified!#REF!+Unclassified!#REF!+Unclassified!#REF!</f>
        <v>#REF!</v>
      </c>
      <c r="E14" s="110" t="e">
        <f>Unclassified!#REF!+Unclassified!#REF!+Unclassified!#REF!+Unclassified!#REF!+Unclassified!#REF!+Unclassified!#REF!+Unclassified!#REF!</f>
        <v>#REF!</v>
      </c>
      <c r="F14" s="110" t="e">
        <f>Unclassified!#REF!+Unclassified!#REF!+Unclassified!#REF!+Unclassified!#REF!+Unclassified!#REF!+Unclassified!#REF!+Unclassified!#REF!</f>
        <v>#REF!</v>
      </c>
      <c r="G14" s="110" t="e">
        <f>Unclassified!#REF!+Unclassified!#REF!+Unclassified!#REF!+Unclassified!#REF!+Unclassified!#REF!+Unclassified!#REF!+Unclassified!#REF!</f>
        <v>#REF!</v>
      </c>
      <c r="H14" s="110" t="e">
        <f>Unclassified!#REF!+Unclassified!#REF!+Unclassified!#REF!+Unclassified!#REF!+Unclassified!#REF!+Unclassified!#REF!+Unclassified!#REF!</f>
        <v>#REF!</v>
      </c>
      <c r="I14" s="110">
        <f>'BUDGET DETAIL'!S313+'BUDGET DETAIL'!S375+'BUDGET DETAIL'!S432+'BUDGET DETAIL'!S449+'BUDGET DETAIL'!S455+'BUDGET DETAIL'!S464+'BUDGET DETAIL'!S481</f>
        <v>2114177.1400000006</v>
      </c>
      <c r="J14" s="110"/>
      <c r="K14" s="110">
        <f>'BUDGET DETAIL'!AF313+'BUDGET DETAIL'!AF375+'BUDGET DETAIL'!AF432+'BUDGET DETAIL'!AF449+'BUDGET DETAIL'!AF455+'BUDGET DETAIL'!AF464+'BUDGET DETAIL'!AF481</f>
        <v>2234856.0900000003</v>
      </c>
      <c r="L14" s="181"/>
      <c r="M14" s="110">
        <f>'BUDGET DETAIL'!AS313+'BUDGET DETAIL'!AS375+'BUDGET DETAIL'!AS432+'BUDGET DETAIL'!AS449+'BUDGET DETAIL'!AS455+'BUDGET DETAIL'!AS464+'BUDGET DETAIL'!AS481</f>
        <v>2248221.62</v>
      </c>
      <c r="N14" s="181"/>
      <c r="O14" s="110">
        <f>'BUDGET DETAIL'!BF313+'BUDGET DETAIL'!BF375+'BUDGET DETAIL'!BF432+'BUDGET DETAIL'!BF449+'BUDGET DETAIL'!BF455+'BUDGET DETAIL'!BF464+'BUDGET DETAIL'!BF481</f>
        <v>2341581.0699999998</v>
      </c>
      <c r="P14" s="181"/>
      <c r="Q14" s="110">
        <f>'BUDGET DETAIL'!BR313+'BUDGET DETAIL'!BR375+'BUDGET DETAIL'!BR432+'BUDGET DETAIL'!BR449+'BUDGET DETAIL'!BR455+'BUDGET DETAIL'!BR464+'BUDGET DETAIL'!BR481</f>
        <v>2633979</v>
      </c>
      <c r="R14" s="181"/>
      <c r="S14" s="110">
        <f>'BUDGET DETAIL'!BW313+'BUDGET DETAIL'!BW375+'BUDGET DETAIL'!BW432+'BUDGET DETAIL'!BW449+'BUDGET DETAIL'!BW455+'BUDGET DETAIL'!BW464+'BUDGET DETAIL'!BW481</f>
        <v>2652537</v>
      </c>
      <c r="T14" s="110">
        <f>'BUDGET DETAIL'!BZ313+'BUDGET DETAIL'!BZ375+'BUDGET DETAIL'!BZ432+'BUDGET DETAIL'!BZ449+'BUDGET DETAIL'!BZ455+'BUDGET DETAIL'!BZ464+'BUDGET DETAIL'!BZ481</f>
        <v>2652537</v>
      </c>
      <c r="U14" s="110">
        <f>'BUDGET DETAIL'!CA313+'BUDGET DETAIL'!CA375+'BUDGET DETAIL'!CA432+'BUDGET DETAIL'!CA449+'BUDGET DETAIL'!CA455+'BUDGET DETAIL'!CA464+'BUDGET DETAIL'!CA481</f>
        <v>2779570</v>
      </c>
      <c r="V14" s="110"/>
    </row>
    <row r="15" spans="1:26" x14ac:dyDescent="0.3">
      <c r="A15" s="84"/>
      <c r="B15" s="84" t="s">
        <v>477</v>
      </c>
      <c r="C15" s="84"/>
      <c r="D15" s="110" t="e">
        <f>Unclassified!#REF!+Unclassified!#REF!+Unclassified!#REF!+Unclassified!#REF!+Unclassified!#REF!+Unclassified!#REF!</f>
        <v>#REF!</v>
      </c>
      <c r="E15" s="110" t="e">
        <f>Unclassified!#REF!+Unclassified!#REF!+Unclassified!#REF!+Unclassified!#REF!+Unclassified!#REF!+Unclassified!#REF!</f>
        <v>#REF!</v>
      </c>
      <c r="F15" s="110" t="e">
        <f>Unclassified!#REF!+Unclassified!#REF!+Unclassified!#REF!+Unclassified!#REF!+Unclassified!#REF!+Unclassified!#REF!</f>
        <v>#REF!</v>
      </c>
      <c r="G15" s="110" t="e">
        <f>Unclassified!#REF!+Unclassified!#REF!+Unclassified!#REF!+Unclassified!#REF!+Unclassified!#REF!+Unclassified!#REF!</f>
        <v>#REF!</v>
      </c>
      <c r="H15" s="110" t="e">
        <f>Unclassified!#REF!+Unclassified!#REF!+Unclassified!#REF!+Unclassified!#REF!+Unclassified!#REF!+Unclassified!#REF!</f>
        <v>#REF!</v>
      </c>
      <c r="I15" s="110">
        <f>'BUDGET DETAIL'!S352+'BUDGET DETAIL'!S414+'BUDGET DETAIL'!S443+'BUDGET DETAIL'!S458+'BUDGET DETAIL'!S469+'BUDGET DETAIL'!S487</f>
        <v>290911.60000000003</v>
      </c>
      <c r="J15" s="110"/>
      <c r="K15" s="110">
        <f>'BUDGET DETAIL'!AF352+'BUDGET DETAIL'!AF414+'BUDGET DETAIL'!AF443+'BUDGET DETAIL'!AF458+'BUDGET DETAIL'!AF469+'BUDGET DETAIL'!AF487</f>
        <v>333278.89999999997</v>
      </c>
      <c r="L15" s="181"/>
      <c r="M15" s="110">
        <f>'BUDGET DETAIL'!AS352+'BUDGET DETAIL'!AS414+'BUDGET DETAIL'!AS443+'BUDGET DETAIL'!AS458+'BUDGET DETAIL'!AS469+'BUDGET DETAIL'!AS487</f>
        <v>224583.88</v>
      </c>
      <c r="N15" s="181"/>
      <c r="O15" s="110">
        <f>'BUDGET DETAIL'!BF352+'BUDGET DETAIL'!BF414+'BUDGET DETAIL'!BF443+'BUDGET DETAIL'!BF458+'BUDGET DETAIL'!BF469+'BUDGET DETAIL'!BF487</f>
        <v>260591.8</v>
      </c>
      <c r="P15" s="181"/>
      <c r="Q15" s="110">
        <f>'BUDGET DETAIL'!BR352+'BUDGET DETAIL'!BR414+'BUDGET DETAIL'!BR443+'BUDGET DETAIL'!BR458+'BUDGET DETAIL'!BR469+'BUDGET DETAIL'!BR487</f>
        <v>292427</v>
      </c>
      <c r="R15" s="181"/>
      <c r="S15" s="110">
        <f>'BUDGET DETAIL'!BW352+'BUDGET DETAIL'!BW414+'BUDGET DETAIL'!BW443+'BUDGET DETAIL'!BW458+'BUDGET DETAIL'!BW469+'BUDGET DETAIL'!BW487</f>
        <v>292427</v>
      </c>
      <c r="T15" s="110">
        <f>'BUDGET DETAIL'!BZ352+'BUDGET DETAIL'!BZ414+'BUDGET DETAIL'!BZ443+'BUDGET DETAIL'!BZ458+'BUDGET DETAIL'!BZ469+'BUDGET DETAIL'!BZ487</f>
        <v>292427</v>
      </c>
      <c r="U15" s="110">
        <f>'BUDGET DETAIL'!CA352+'BUDGET DETAIL'!CA414+'BUDGET DETAIL'!CA443+'BUDGET DETAIL'!CA458+'BUDGET DETAIL'!CA469+'BUDGET DETAIL'!CA487</f>
        <v>303227</v>
      </c>
      <c r="V15" s="110"/>
    </row>
    <row r="16" spans="1:26" x14ac:dyDescent="0.3">
      <c r="A16" s="84"/>
      <c r="B16" s="84" t="s">
        <v>478</v>
      </c>
      <c r="C16" s="84"/>
      <c r="D16" s="84"/>
      <c r="E16" s="84"/>
      <c r="F16" s="84"/>
      <c r="G16" s="84"/>
      <c r="H16" s="84"/>
      <c r="I16" s="84"/>
      <c r="K16" s="285"/>
      <c r="S16" s="285"/>
      <c r="V16" s="110"/>
    </row>
    <row r="17" spans="1:22" x14ac:dyDescent="0.3">
      <c r="A17" s="84"/>
      <c r="B17" s="86"/>
      <c r="C17" s="86" t="s">
        <v>479</v>
      </c>
      <c r="D17" s="88" t="e">
        <f t="shared" ref="D17:I17" si="6">SUM(D14:D16)</f>
        <v>#REF!</v>
      </c>
      <c r="E17" s="88" t="e">
        <f t="shared" si="6"/>
        <v>#REF!</v>
      </c>
      <c r="F17" s="88" t="e">
        <f t="shared" si="6"/>
        <v>#REF!</v>
      </c>
      <c r="G17" s="88" t="e">
        <f t="shared" si="6"/>
        <v>#REF!</v>
      </c>
      <c r="H17" s="88" t="e">
        <f t="shared" si="6"/>
        <v>#REF!</v>
      </c>
      <c r="I17" s="88">
        <f t="shared" si="6"/>
        <v>2405088.7400000007</v>
      </c>
      <c r="J17" s="88"/>
      <c r="K17" s="88">
        <f t="shared" ref="K17" si="7">SUM(K14:K16)</f>
        <v>2568134.9900000002</v>
      </c>
      <c r="L17" s="179"/>
      <c r="M17" s="88">
        <f t="shared" ref="M17:O17" si="8">SUM(M14:M16)</f>
        <v>2472805.5</v>
      </c>
      <c r="N17" s="179"/>
      <c r="O17" s="88">
        <f t="shared" si="8"/>
        <v>2602172.8699999996</v>
      </c>
      <c r="P17" s="179"/>
      <c r="Q17" s="88">
        <f t="shared" ref="Q17" si="9">SUM(Q14:Q16)</f>
        <v>2926406</v>
      </c>
      <c r="R17" s="179"/>
      <c r="S17" s="88">
        <f t="shared" ref="S17" si="10">SUM(S14:S16)</f>
        <v>2944964</v>
      </c>
      <c r="T17" s="88">
        <f t="shared" ref="T17:U17" si="11">SUM(T14:T16)</f>
        <v>2944964</v>
      </c>
      <c r="U17" s="88">
        <f t="shared" si="11"/>
        <v>3082797</v>
      </c>
      <c r="V17" s="110"/>
    </row>
    <row r="18" spans="1:22" x14ac:dyDescent="0.3">
      <c r="E18" s="84"/>
      <c r="F18" s="84"/>
      <c r="G18" s="84"/>
      <c r="H18" s="84"/>
      <c r="I18" s="84"/>
      <c r="K18" s="285"/>
      <c r="S18" s="285"/>
      <c r="V18" s="110"/>
    </row>
    <row r="19" spans="1:22" x14ac:dyDescent="0.3">
      <c r="A19" s="93" t="s">
        <v>481</v>
      </c>
      <c r="B19" s="84"/>
      <c r="C19" s="84"/>
      <c r="D19" s="84"/>
      <c r="E19" s="84"/>
      <c r="F19" s="84"/>
      <c r="G19" s="84"/>
      <c r="H19" s="84"/>
      <c r="I19" s="84"/>
      <c r="K19" s="285"/>
      <c r="S19" s="285"/>
      <c r="V19" s="110"/>
    </row>
    <row r="20" spans="1:22" x14ac:dyDescent="0.3">
      <c r="A20" s="84"/>
      <c r="B20" s="84" t="s">
        <v>476</v>
      </c>
      <c r="C20" s="84"/>
      <c r="D20" s="110" t="e">
        <f>Unclassified!#REF!+Unclassified!#REF!+Unclassified!#REF!</f>
        <v>#REF!</v>
      </c>
      <c r="E20" s="110" t="e">
        <f>Unclassified!#REF!+Unclassified!#REF!+Unclassified!#REF!</f>
        <v>#REF!</v>
      </c>
      <c r="F20" s="110" t="e">
        <f>Unclassified!#REF!+Unclassified!#REF!+Unclassified!#REF!</f>
        <v>#REF!</v>
      </c>
      <c r="G20" s="110" t="e">
        <f>Unclassified!#REF!+Unclassified!#REF!+Unclassified!#REF!</f>
        <v>#REF!</v>
      </c>
      <c r="H20" s="110" t="e">
        <f>Unclassified!#REF!+Unclassified!#REF!+Unclassified!#REF!</f>
        <v>#REF!</v>
      </c>
      <c r="I20" s="110">
        <f>'BUDGET DETAIL'!S514+'BUDGET DETAIL'!S536+'BUDGET DETAIL'!S588+'BUDGET DETAIL'!S636</f>
        <v>691893.81</v>
      </c>
      <c r="J20" s="110"/>
      <c r="K20" s="110">
        <f>'BUDGET DETAIL'!AF514+'BUDGET DETAIL'!AF536+'BUDGET DETAIL'!AF588+'BUDGET DETAIL'!AF636</f>
        <v>695297.49</v>
      </c>
      <c r="L20" s="181"/>
      <c r="M20" s="110">
        <f>'BUDGET DETAIL'!AS514+'BUDGET DETAIL'!AS536+'BUDGET DETAIL'!AS588+'BUDGET DETAIL'!AS636</f>
        <v>687441.5</v>
      </c>
      <c r="N20" s="181"/>
      <c r="O20" s="110">
        <f>'BUDGET DETAIL'!BF514+'BUDGET DETAIL'!BF536+'BUDGET DETAIL'!BF588+'BUDGET DETAIL'!BF636</f>
        <v>653431.13000000012</v>
      </c>
      <c r="P20" s="110">
        <f>'BUDGET DETAIL'!Z514+'BUDGET DETAIL'!Z536+'BUDGET DETAIL'!Z588+'BUDGET DETAIL'!Z636</f>
        <v>691202</v>
      </c>
      <c r="Q20" s="110">
        <f>'BUDGET DETAIL'!BR514+'BUDGET DETAIL'!BR536+'BUDGET DETAIL'!BR588+'BUDGET DETAIL'!BR636</f>
        <v>663212</v>
      </c>
      <c r="R20" s="181"/>
      <c r="S20" s="110">
        <f>'BUDGET DETAIL'!BW514+'BUDGET DETAIL'!BW536+'BUDGET DETAIL'!BW588+'BUDGET DETAIL'!BW636</f>
        <v>691014</v>
      </c>
      <c r="T20" s="110">
        <f>'BUDGET DETAIL'!BZ514+'BUDGET DETAIL'!BZ536+'BUDGET DETAIL'!BZ588+'BUDGET DETAIL'!BZ636</f>
        <v>691014</v>
      </c>
      <c r="U20" s="110">
        <f>'BUDGET DETAIL'!CA514+'BUDGET DETAIL'!CA536+'BUDGET DETAIL'!CA588+'BUDGET DETAIL'!CA636</f>
        <v>691014</v>
      </c>
      <c r="V20" s="110"/>
    </row>
    <row r="21" spans="1:22" x14ac:dyDescent="0.3">
      <c r="A21" s="84"/>
      <c r="B21" s="84" t="s">
        <v>477</v>
      </c>
      <c r="C21" s="84"/>
      <c r="D21" s="110" t="e">
        <f>Unclassified!#REF!+Unclassified!#REF!+Unclassified!#REF!+Unclassified!#REF!+Unclassified!#REF!+Unclassified!#REF!+Unclassified!#REF!+Unclassified!#REF!</f>
        <v>#REF!</v>
      </c>
      <c r="E21" s="110" t="e">
        <f>Unclassified!#REF!+Unclassified!#REF!+Unclassified!#REF!+Unclassified!#REF!+Unclassified!#REF!+Unclassified!#REF!+Unclassified!#REF!+Unclassified!#REF!</f>
        <v>#REF!</v>
      </c>
      <c r="F21" s="110" t="e">
        <f>Unclassified!#REF!+Unclassified!#REF!+Unclassified!#REF!+Unclassified!#REF!+Unclassified!#REF!+Unclassified!#REF!+Unclassified!#REF!+Unclassified!#REF!</f>
        <v>#REF!</v>
      </c>
      <c r="G21" s="110" t="e">
        <f>Unclassified!#REF!+Unclassified!#REF!+Unclassified!#REF!+Unclassified!#REF!+Unclassified!#REF!+Unclassified!#REF!+Unclassified!#REF!+Unclassified!#REF!</f>
        <v>#REF!</v>
      </c>
      <c r="H21" s="110" t="e">
        <f>Unclassified!#REF!+Unclassified!#REF!+Unclassified!#REF!+Unclassified!#REF!+Unclassified!#REF!+Unclassified!#REF!+Unclassified!#REF!+Unclassified!#REF!</f>
        <v>#REF!</v>
      </c>
      <c r="I21" s="110">
        <f>'BUDGET DETAIL'!S517+'BUDGET DETAIL'!S576+'BUDGET DETAIL'!S597+'BUDGET DETAIL'!S603+'BUDGET DETAIL'!S610+'BUDGET DETAIL'!S617+'BUDGET DETAIL'!S667</f>
        <v>936020.55</v>
      </c>
      <c r="J21" s="110"/>
      <c r="K21" s="110">
        <f>'BUDGET DETAIL'!AF517+'BUDGET DETAIL'!AF576+'BUDGET DETAIL'!AF597+'BUDGET DETAIL'!AF603+'BUDGET DETAIL'!AF610+'BUDGET DETAIL'!AF617+'BUDGET DETAIL'!AF667+'BUDGET DETAIL'!AF676</f>
        <v>925324.23999999987</v>
      </c>
      <c r="L21" s="181"/>
      <c r="M21" s="110">
        <f>'BUDGET DETAIL'!AS517+'BUDGET DETAIL'!AS576+'BUDGET DETAIL'!AS597+'BUDGET DETAIL'!AS603+'BUDGET DETAIL'!AS610+'BUDGET DETAIL'!AS617+'BUDGET DETAIL'!AS667+'BUDGET DETAIL'!AS676</f>
        <v>858377.57000000007</v>
      </c>
      <c r="N21" s="181"/>
      <c r="O21" s="110">
        <f>'BUDGET DETAIL'!BF517+'BUDGET DETAIL'!BF576+'BUDGET DETAIL'!BF597+'BUDGET DETAIL'!BF603+'BUDGET DETAIL'!BF610+'BUDGET DETAIL'!BF617+'BUDGET DETAIL'!BF667+'BUDGET DETAIL'!BF676</f>
        <v>919302.73</v>
      </c>
      <c r="P21" s="110">
        <f>'BUDGET DETAIL'!Z517+'BUDGET DETAIL'!Z576+'BUDGET DETAIL'!Z597+'BUDGET DETAIL'!Z603+'BUDGET DETAIL'!Z610+'BUDGET DETAIL'!Z617+'BUDGET DETAIL'!Z667</f>
        <v>924841</v>
      </c>
      <c r="Q21" s="110">
        <f>'BUDGET DETAIL'!BR517+'BUDGET DETAIL'!BR576+'BUDGET DETAIL'!BR597+'BUDGET DETAIL'!BR603+'BUDGET DETAIL'!BR610+'BUDGET DETAIL'!BR617+'BUDGET DETAIL'!BR667+'BUDGET DETAIL'!BR676</f>
        <v>996438</v>
      </c>
      <c r="R21" s="181"/>
      <c r="S21" s="110">
        <f>'BUDGET DETAIL'!BW517+'BUDGET DETAIL'!BW576+'BUDGET DETAIL'!BW597+'BUDGET DETAIL'!BW603+'BUDGET DETAIL'!BW610+'BUDGET DETAIL'!BW617+'BUDGET DETAIL'!BW667+'BUDGET DETAIL'!BW676</f>
        <v>977238</v>
      </c>
      <c r="T21" s="110">
        <f>'BUDGET DETAIL'!BZ517+'BUDGET DETAIL'!BZ576+'BUDGET DETAIL'!BZ597+'BUDGET DETAIL'!BZ603+'BUDGET DETAIL'!BZ610+'BUDGET DETAIL'!BZ617+'BUDGET DETAIL'!BZ667+'BUDGET DETAIL'!BZ676</f>
        <v>977238</v>
      </c>
      <c r="U21" s="110">
        <f>'BUDGET DETAIL'!CA517+'BUDGET DETAIL'!CA576+'BUDGET DETAIL'!CA597+'BUDGET DETAIL'!CA603+'BUDGET DETAIL'!CA610+'BUDGET DETAIL'!CA617+'BUDGET DETAIL'!CA667+'BUDGET DETAIL'!CA676</f>
        <v>1027238</v>
      </c>
      <c r="V21" s="110"/>
    </row>
    <row r="22" spans="1:22" x14ac:dyDescent="0.3">
      <c r="A22" s="84"/>
      <c r="B22" s="84" t="s">
        <v>478</v>
      </c>
      <c r="C22" s="84"/>
      <c r="D22" s="110" t="e">
        <f>Unclassified!#REF!</f>
        <v>#REF!</v>
      </c>
      <c r="E22" s="110" t="e">
        <f>Unclassified!#REF!</f>
        <v>#REF!</v>
      </c>
      <c r="F22" s="110" t="e">
        <f>Unclassified!#REF!</f>
        <v>#REF!</v>
      </c>
      <c r="G22" s="110" t="e">
        <f>Unclassified!#REF!</f>
        <v>#REF!</v>
      </c>
      <c r="H22" s="110" t="e">
        <f>Unclassified!#REF!</f>
        <v>#REF!</v>
      </c>
      <c r="I22" s="110">
        <f>'BUDGET DETAIL'!S580</f>
        <v>29256.23</v>
      </c>
      <c r="J22" s="110"/>
      <c r="K22" s="110">
        <f>'BUDGET DETAIL'!AF580</f>
        <v>0</v>
      </c>
      <c r="L22" s="181"/>
      <c r="M22" s="110">
        <f>'BUDGET DETAIL'!AS580</f>
        <v>34997.620000000003</v>
      </c>
      <c r="N22" s="181"/>
      <c r="O22" s="110">
        <f>'BUDGET DETAIL'!BF580</f>
        <v>0</v>
      </c>
      <c r="P22" s="110">
        <f>'BUDGET DETAIL'!Z580</f>
        <v>0</v>
      </c>
      <c r="Q22" s="110">
        <f>'BUDGET DETAIL'!BR580</f>
        <v>0</v>
      </c>
      <c r="R22" s="181"/>
      <c r="S22" s="110">
        <f>'BUDGET DETAIL'!BW580</f>
        <v>0</v>
      </c>
      <c r="T22" s="110">
        <f>'BUDGET DETAIL'!BZ580</f>
        <v>0</v>
      </c>
      <c r="U22" s="110">
        <f>'BUDGET DETAIL'!CA580</f>
        <v>0</v>
      </c>
      <c r="V22" s="110"/>
    </row>
    <row r="23" spans="1:22" x14ac:dyDescent="0.3">
      <c r="A23" s="84"/>
      <c r="B23" s="86"/>
      <c r="C23" s="86" t="s">
        <v>479</v>
      </c>
      <c r="D23" s="88" t="e">
        <f t="shared" ref="D23:I23" si="12">SUM(D20:D22)</f>
        <v>#REF!</v>
      </c>
      <c r="E23" s="88" t="e">
        <f t="shared" si="12"/>
        <v>#REF!</v>
      </c>
      <c r="F23" s="88" t="e">
        <f t="shared" si="12"/>
        <v>#REF!</v>
      </c>
      <c r="G23" s="88" t="e">
        <f t="shared" si="12"/>
        <v>#REF!</v>
      </c>
      <c r="H23" s="88" t="e">
        <f t="shared" si="12"/>
        <v>#REF!</v>
      </c>
      <c r="I23" s="88">
        <f t="shared" si="12"/>
        <v>1657170.59</v>
      </c>
      <c r="J23" s="88"/>
      <c r="K23" s="88">
        <f t="shared" ref="K23" si="13">SUM(K20:K22)</f>
        <v>1620621.73</v>
      </c>
      <c r="L23" s="179"/>
      <c r="M23" s="88">
        <f t="shared" ref="M23:O23" si="14">SUM(M20:M22)</f>
        <v>1580816.6900000002</v>
      </c>
      <c r="N23" s="179"/>
      <c r="O23" s="88">
        <f t="shared" si="14"/>
        <v>1572733.86</v>
      </c>
      <c r="P23" s="179"/>
      <c r="Q23" s="88">
        <f t="shared" ref="Q23" si="15">SUM(Q20:Q22)</f>
        <v>1659650</v>
      </c>
      <c r="R23" s="179"/>
      <c r="S23" s="88">
        <f t="shared" ref="S23" si="16">SUM(S20:S22)</f>
        <v>1668252</v>
      </c>
      <c r="T23" s="88">
        <f t="shared" ref="T23:U23" si="17">SUM(T20:T22)</f>
        <v>1668252</v>
      </c>
      <c r="U23" s="88">
        <f t="shared" si="17"/>
        <v>1718252</v>
      </c>
      <c r="V23" s="110"/>
    </row>
    <row r="24" spans="1:22" x14ac:dyDescent="0.3">
      <c r="E24" s="84"/>
      <c r="F24" s="84"/>
      <c r="G24" s="84"/>
      <c r="H24" s="84"/>
      <c r="I24" s="84"/>
      <c r="K24" s="285"/>
      <c r="S24" s="285"/>
      <c r="V24" s="110"/>
    </row>
    <row r="25" spans="1:22" s="84" customFormat="1" x14ac:dyDescent="0.3">
      <c r="A25" s="93" t="s">
        <v>482</v>
      </c>
      <c r="K25" s="285"/>
      <c r="L25" s="87"/>
      <c r="M25" s="285"/>
      <c r="N25" s="87"/>
      <c r="O25" s="285"/>
      <c r="P25" s="87"/>
      <c r="Q25" s="285"/>
      <c r="R25" s="87"/>
      <c r="S25" s="285"/>
      <c r="T25" s="285"/>
      <c r="U25" s="285"/>
      <c r="V25" s="110"/>
    </row>
    <row r="26" spans="1:22" s="84" customFormat="1" x14ac:dyDescent="0.3">
      <c r="B26" s="84" t="s">
        <v>476</v>
      </c>
      <c r="D26" s="110" t="e">
        <f>Unclassified!#REF!+Unclassified!#REF!</f>
        <v>#REF!</v>
      </c>
      <c r="E26" s="110" t="e">
        <f>Unclassified!#REF!+Unclassified!#REF!</f>
        <v>#REF!</v>
      </c>
      <c r="F26" s="110" t="e">
        <f>Unclassified!#REF!+Unclassified!#REF!</f>
        <v>#REF!</v>
      </c>
      <c r="G26" s="110" t="e">
        <f>Unclassified!#REF!+Unclassified!#REF!</f>
        <v>#REF!</v>
      </c>
      <c r="H26" s="110" t="e">
        <f>Unclassified!#REF!+Unclassified!#REF!</f>
        <v>#REF!</v>
      </c>
      <c r="I26" s="110">
        <f>'BUDGET DETAIL'!S693+'BUDGET DETAIL'!S721</f>
        <v>201756.06</v>
      </c>
      <c r="J26" s="110"/>
      <c r="K26" s="110">
        <f>'BUDGET DETAIL'!AF693+'BUDGET DETAIL'!AF721</f>
        <v>202890.16</v>
      </c>
      <c r="L26" s="181"/>
      <c r="M26" s="110">
        <f>'BUDGET DETAIL'!AS693+'BUDGET DETAIL'!AS721</f>
        <v>206271.58</v>
      </c>
      <c r="N26" s="181"/>
      <c r="O26" s="110">
        <f>'BUDGET DETAIL'!BF693+'BUDGET DETAIL'!BF721</f>
        <v>194514.58</v>
      </c>
      <c r="P26" s="181"/>
      <c r="Q26" s="110">
        <f>'BUDGET DETAIL'!BR693+'BUDGET DETAIL'!BR721</f>
        <v>230933</v>
      </c>
      <c r="R26" s="181"/>
      <c r="S26" s="110">
        <f>'BUDGET DETAIL'!BW693+'BUDGET DETAIL'!BW721</f>
        <v>235345</v>
      </c>
      <c r="T26" s="110">
        <f>'BUDGET DETAIL'!BZ693+'BUDGET DETAIL'!BZ721</f>
        <v>235345</v>
      </c>
      <c r="U26" s="110">
        <f>'BUDGET DETAIL'!CA693+'BUDGET DETAIL'!CA721</f>
        <v>235345</v>
      </c>
      <c r="V26" s="110"/>
    </row>
    <row r="27" spans="1:22" s="84" customFormat="1" x14ac:dyDescent="0.3">
      <c r="B27" s="84" t="s">
        <v>477</v>
      </c>
      <c r="D27" s="110" t="e">
        <f>Unclassified!#REF!+Unclassified!#REF!+Unclassified!#REF!+Unclassified!#REF!</f>
        <v>#REF!</v>
      </c>
      <c r="E27" s="110" t="e">
        <f>Unclassified!#REF!+Unclassified!#REF!+Unclassified!#REF!+Unclassified!#REF!</f>
        <v>#REF!</v>
      </c>
      <c r="F27" s="110" t="e">
        <f>Unclassified!#REF!+Unclassified!#REF!+Unclassified!#REF!+Unclassified!#REF!</f>
        <v>#REF!</v>
      </c>
      <c r="G27" s="110" t="e">
        <f>Unclassified!#REF!+Unclassified!#REF!+Unclassified!#REF!+Unclassified!#REF!</f>
        <v>#REF!</v>
      </c>
      <c r="H27" s="110" t="e">
        <f>Unclassified!#REF!+Unclassified!#REF!+Unclassified!#REF!+Unclassified!#REF!</f>
        <v>#REF!</v>
      </c>
      <c r="I27" s="110">
        <f>'BUDGET DETAIL'!S708+'BUDGET DETAIL'!S732+'BUDGET DETAIL'!S744+'BUDGET DETAIL'!S750</f>
        <v>38038.75</v>
      </c>
      <c r="J27" s="110"/>
      <c r="K27" s="110">
        <f>'BUDGET DETAIL'!AF708+'BUDGET DETAIL'!AF732+'BUDGET DETAIL'!AF744+'BUDGET DETAIL'!AF750</f>
        <v>40633.700000000004</v>
      </c>
      <c r="L27" s="181"/>
      <c r="M27" s="110">
        <f>'BUDGET DETAIL'!AS708+'BUDGET DETAIL'!AS732+'BUDGET DETAIL'!AS744+'BUDGET DETAIL'!AS750</f>
        <v>41644.11</v>
      </c>
      <c r="N27" s="181"/>
      <c r="O27" s="110">
        <f>'BUDGET DETAIL'!BF708+'BUDGET DETAIL'!BF732+'BUDGET DETAIL'!BF744+'BUDGET DETAIL'!BF750</f>
        <v>38525.96</v>
      </c>
      <c r="P27" s="181"/>
      <c r="Q27" s="110">
        <f>'BUDGET DETAIL'!BR708+'BUDGET DETAIL'!BR732+'BUDGET DETAIL'!BR744+'BUDGET DETAIL'!BR750</f>
        <v>63597</v>
      </c>
      <c r="R27" s="181"/>
      <c r="S27" s="110">
        <f>'BUDGET DETAIL'!BW708+'BUDGET DETAIL'!BW732+'BUDGET DETAIL'!BW744+'BUDGET DETAIL'!BW750</f>
        <v>64097</v>
      </c>
      <c r="T27" s="110">
        <f>'BUDGET DETAIL'!BZ708+'BUDGET DETAIL'!BZ732+'BUDGET DETAIL'!BZ744+'BUDGET DETAIL'!BZ750</f>
        <v>64097</v>
      </c>
      <c r="U27" s="110">
        <f>'BUDGET DETAIL'!CA708+'BUDGET DETAIL'!CA732+'BUDGET DETAIL'!CA744+'BUDGET DETAIL'!CA750</f>
        <v>64097</v>
      </c>
      <c r="V27" s="110"/>
    </row>
    <row r="28" spans="1:22" s="84" customFormat="1" x14ac:dyDescent="0.3">
      <c r="B28" s="84" t="s">
        <v>478</v>
      </c>
      <c r="K28" s="285"/>
      <c r="L28" s="87"/>
      <c r="M28" s="285"/>
      <c r="N28" s="87"/>
      <c r="O28" s="285"/>
      <c r="P28" s="87"/>
      <c r="Q28" s="285"/>
      <c r="R28" s="87"/>
      <c r="S28" s="285"/>
      <c r="T28" s="285"/>
      <c r="U28" s="285"/>
      <c r="V28" s="110"/>
    </row>
    <row r="29" spans="1:22" s="84" customFormat="1" x14ac:dyDescent="0.3">
      <c r="B29" s="86"/>
      <c r="C29" s="86" t="s">
        <v>479</v>
      </c>
      <c r="D29" s="88" t="e">
        <f t="shared" ref="D29:I29" si="18">SUM(D26:D28)</f>
        <v>#REF!</v>
      </c>
      <c r="E29" s="88" t="e">
        <f t="shared" si="18"/>
        <v>#REF!</v>
      </c>
      <c r="F29" s="88" t="e">
        <f t="shared" si="18"/>
        <v>#REF!</v>
      </c>
      <c r="G29" s="88" t="e">
        <f t="shared" si="18"/>
        <v>#REF!</v>
      </c>
      <c r="H29" s="88" t="e">
        <f t="shared" si="18"/>
        <v>#REF!</v>
      </c>
      <c r="I29" s="88">
        <f t="shared" si="18"/>
        <v>239794.81</v>
      </c>
      <c r="J29" s="88"/>
      <c r="K29" s="88">
        <f t="shared" ref="K29" si="19">SUM(K26:K28)</f>
        <v>243523.86000000002</v>
      </c>
      <c r="L29" s="179"/>
      <c r="M29" s="88">
        <f t="shared" ref="M29:O29" si="20">SUM(M26:M28)</f>
        <v>247915.69</v>
      </c>
      <c r="N29" s="179"/>
      <c r="O29" s="88">
        <f t="shared" si="20"/>
        <v>233040.53999999998</v>
      </c>
      <c r="P29" s="179"/>
      <c r="Q29" s="88">
        <f t="shared" ref="Q29" si="21">SUM(Q26:Q28)</f>
        <v>294530</v>
      </c>
      <c r="R29" s="179"/>
      <c r="S29" s="88">
        <f t="shared" ref="S29" si="22">SUM(S26:S28)</f>
        <v>299442</v>
      </c>
      <c r="T29" s="88">
        <f t="shared" ref="T29:U29" si="23">SUM(T26:T28)</f>
        <v>299442</v>
      </c>
      <c r="U29" s="88">
        <f t="shared" si="23"/>
        <v>299442</v>
      </c>
      <c r="V29" s="110"/>
    </row>
    <row r="30" spans="1:22" s="84" customFormat="1" x14ac:dyDescent="0.3">
      <c r="K30" s="285"/>
      <c r="L30" s="87"/>
      <c r="M30" s="285"/>
      <c r="N30" s="87"/>
      <c r="O30" s="285"/>
      <c r="P30" s="87"/>
      <c r="Q30" s="285"/>
      <c r="R30" s="87"/>
      <c r="S30" s="285"/>
      <c r="T30" s="285"/>
      <c r="U30" s="285"/>
      <c r="V30" s="110"/>
    </row>
    <row r="31" spans="1:22" x14ac:dyDescent="0.3">
      <c r="A31" s="93" t="s">
        <v>492</v>
      </c>
      <c r="B31" s="84"/>
      <c r="C31" s="84"/>
      <c r="D31" s="84"/>
      <c r="E31" s="84"/>
      <c r="F31" s="84"/>
      <c r="G31" s="84"/>
      <c r="H31" s="84"/>
      <c r="I31" s="84"/>
      <c r="K31" s="285"/>
      <c r="S31" s="285"/>
      <c r="V31" s="110"/>
    </row>
    <row r="32" spans="1:22" x14ac:dyDescent="0.3">
      <c r="A32" s="84"/>
      <c r="B32" s="84" t="s">
        <v>476</v>
      </c>
      <c r="C32" s="84"/>
      <c r="D32" s="110" t="e">
        <f>Unclassified!#REF!</f>
        <v>#REF!</v>
      </c>
      <c r="E32" s="110" t="e">
        <f>Unclassified!#REF!</f>
        <v>#REF!</v>
      </c>
      <c r="F32" s="110" t="e">
        <f>Unclassified!#REF!</f>
        <v>#REF!</v>
      </c>
      <c r="G32" s="110" t="e">
        <f>Unclassified!#REF!</f>
        <v>#REF!</v>
      </c>
      <c r="H32" s="110" t="e">
        <f>Unclassified!#REF!</f>
        <v>#REF!</v>
      </c>
      <c r="I32" s="110">
        <f>'BUDGET DETAIL'!S771+'BUDGET DETAIL'!S799+'BUDGET DETAIL'!S819</f>
        <v>430162.99000000005</v>
      </c>
      <c r="J32" s="110"/>
      <c r="K32" s="110">
        <f>'BUDGET DETAIL'!AF771+'BUDGET DETAIL'!AF799+'BUDGET DETAIL'!AF819</f>
        <v>450745.59999999998</v>
      </c>
      <c r="L32" s="181"/>
      <c r="M32" s="110">
        <f>'BUDGET DETAIL'!AS771+'BUDGET DETAIL'!AS799+'BUDGET DETAIL'!AS819</f>
        <v>477025.24000000005</v>
      </c>
      <c r="N32" s="181"/>
      <c r="O32" s="110">
        <f>'BUDGET DETAIL'!BF771+'BUDGET DETAIL'!BF799+'BUDGET DETAIL'!BF819</f>
        <v>441063.19000000006</v>
      </c>
      <c r="P32" s="181"/>
      <c r="Q32" s="110">
        <f>'BUDGET DETAIL'!BR771+'BUDGET DETAIL'!BR799+'BUDGET DETAIL'!BR819</f>
        <v>519005</v>
      </c>
      <c r="R32" s="181"/>
      <c r="S32" s="110">
        <f>'BUDGET DETAIL'!BW771+'BUDGET DETAIL'!BW799+'BUDGET DETAIL'!BW819</f>
        <v>522061</v>
      </c>
      <c r="T32" s="110">
        <f>'BUDGET DETAIL'!BZ771+'BUDGET DETAIL'!BZ799+'BUDGET DETAIL'!BZ818</f>
        <v>522061</v>
      </c>
      <c r="U32" s="110">
        <f>'BUDGET DETAIL'!CA771+'BUDGET DETAIL'!CA799+'BUDGET DETAIL'!CA818</f>
        <v>522061</v>
      </c>
      <c r="V32" s="110"/>
    </row>
    <row r="33" spans="1:22" x14ac:dyDescent="0.3">
      <c r="A33" s="84"/>
      <c r="B33" s="84" t="s">
        <v>477</v>
      </c>
      <c r="C33" s="84"/>
      <c r="D33" s="110" t="e">
        <f>Unclassified!#REF!+Unclassified!#REF!+Unclassified!#REF!+Unclassified!#REF!+Unclassified!#REF!</f>
        <v>#REF!</v>
      </c>
      <c r="E33" s="110" t="e">
        <f>Unclassified!#REF!+Unclassified!#REF!+Unclassified!#REF!+Unclassified!#REF!+Unclassified!#REF!</f>
        <v>#REF!</v>
      </c>
      <c r="F33" s="110" t="e">
        <f>Unclassified!#REF!+Unclassified!#REF!+Unclassified!#REF!+Unclassified!#REF!+Unclassified!#REF!</f>
        <v>#REF!</v>
      </c>
      <c r="G33" s="110" t="e">
        <f>Unclassified!#REF!+Unclassified!#REF!+Unclassified!#REF!+Unclassified!#REF!+Unclassified!#REF!</f>
        <v>#REF!</v>
      </c>
      <c r="H33" s="110" t="e">
        <f>Unclassified!#REF!+Unclassified!#REF!+Unclassified!#REF!+Unclassified!#REF!+Unclassified!#REF!</f>
        <v>#REF!</v>
      </c>
      <c r="I33" s="110">
        <f>'BUDGET DETAIL'!S793+'BUDGET DETAIL'!S806+'BUDGET DETAIL'!S813+'BUDGET DETAIL'!S819+'BUDGET DETAIL'!S827+'BUDGET DETAIL'!S835</f>
        <v>148892.47</v>
      </c>
      <c r="J33" s="110"/>
      <c r="K33" s="110">
        <f>'BUDGET DETAIL'!AF793+'BUDGET DETAIL'!AF806+'BUDGET DETAIL'!AF813+'BUDGET DETAIL'!AF819+'BUDGET DETAIL'!AF827+'BUDGET DETAIL'!AF835</f>
        <v>153731.71</v>
      </c>
      <c r="L33" s="181"/>
      <c r="M33" s="110">
        <f>'BUDGET DETAIL'!AS793+'BUDGET DETAIL'!AS806+'BUDGET DETAIL'!AS813+'BUDGET DETAIL'!AS819+'BUDGET DETAIL'!AS827+'BUDGET DETAIL'!AS835</f>
        <v>148334.91</v>
      </c>
      <c r="N33" s="181"/>
      <c r="O33" s="110">
        <f>'BUDGET DETAIL'!BF793+'BUDGET DETAIL'!BF806+'BUDGET DETAIL'!BF813+'BUDGET DETAIL'!BF819+'BUDGET DETAIL'!BF827+'BUDGET DETAIL'!BF835</f>
        <v>147827.10999999996</v>
      </c>
      <c r="P33" s="181"/>
      <c r="Q33" s="110">
        <f>'BUDGET DETAIL'!BR793+'BUDGET DETAIL'!BR806+'BUDGET DETAIL'!BR813+'BUDGET DETAIL'!BR827+'BUDGET DETAIL'!BR835</f>
        <v>168830</v>
      </c>
      <c r="R33" s="181"/>
      <c r="S33" s="110">
        <f>'BUDGET DETAIL'!BW793+'BUDGET DETAIL'!BW806+'BUDGET DETAIL'!BW813+'BUDGET DETAIL'!BW827+'BUDGET DETAIL'!BW835</f>
        <v>168730</v>
      </c>
      <c r="T33" s="110">
        <f>'BUDGET DETAIL'!BZ793+'BUDGET DETAIL'!BZ806+'BUDGET DETAIL'!BZ813+'BUDGET DETAIL'!BZ827+'BUDGET DETAIL'!BZ835</f>
        <v>168730</v>
      </c>
      <c r="U33" s="110">
        <f>'BUDGET DETAIL'!CA793+'BUDGET DETAIL'!CA806+'BUDGET DETAIL'!CA813+'BUDGET DETAIL'!CA827+'BUDGET DETAIL'!CA835</f>
        <v>180706</v>
      </c>
      <c r="V33" s="110"/>
    </row>
    <row r="34" spans="1:22" x14ac:dyDescent="0.3">
      <c r="A34" s="84"/>
      <c r="B34" s="84" t="s">
        <v>478</v>
      </c>
      <c r="C34" s="84"/>
      <c r="D34" s="110"/>
      <c r="E34" s="110"/>
      <c r="F34" s="110"/>
      <c r="G34" s="110"/>
      <c r="H34" s="110"/>
      <c r="I34" s="110"/>
      <c r="J34" s="110"/>
      <c r="K34" s="110"/>
      <c r="L34" s="181"/>
      <c r="M34" s="110"/>
      <c r="N34" s="181"/>
      <c r="O34" s="110"/>
      <c r="P34" s="181"/>
      <c r="Q34" s="110"/>
      <c r="R34" s="181"/>
      <c r="S34" s="110"/>
      <c r="T34" s="110"/>
      <c r="U34" s="110"/>
      <c r="V34" s="110"/>
    </row>
    <row r="35" spans="1:22" x14ac:dyDescent="0.3">
      <c r="A35" s="84"/>
      <c r="B35" s="86"/>
      <c r="C35" s="86" t="s">
        <v>479</v>
      </c>
      <c r="D35" s="88" t="e">
        <f t="shared" ref="D35:I35" si="24">SUM(D32:D34)</f>
        <v>#REF!</v>
      </c>
      <c r="E35" s="88" t="e">
        <f t="shared" si="24"/>
        <v>#REF!</v>
      </c>
      <c r="F35" s="88" t="e">
        <f t="shared" si="24"/>
        <v>#REF!</v>
      </c>
      <c r="G35" s="88" t="e">
        <f t="shared" si="24"/>
        <v>#REF!</v>
      </c>
      <c r="H35" s="88" t="e">
        <f t="shared" si="24"/>
        <v>#REF!</v>
      </c>
      <c r="I35" s="88">
        <f t="shared" si="24"/>
        <v>579055.46000000008</v>
      </c>
      <c r="J35" s="88"/>
      <c r="K35" s="88">
        <f t="shared" ref="K35" si="25">SUM(K32:K34)</f>
        <v>604477.30999999994</v>
      </c>
      <c r="L35" s="179"/>
      <c r="M35" s="88">
        <f t="shared" ref="M35:O35" si="26">SUM(M32:M34)</f>
        <v>625360.15</v>
      </c>
      <c r="N35" s="179"/>
      <c r="O35" s="88">
        <f t="shared" si="26"/>
        <v>588890.30000000005</v>
      </c>
      <c r="P35" s="179"/>
      <c r="Q35" s="88">
        <f t="shared" ref="Q35" si="27">SUM(Q32:Q34)</f>
        <v>687835</v>
      </c>
      <c r="R35" s="179"/>
      <c r="S35" s="88">
        <f t="shared" ref="S35" si="28">SUM(S32:S34)</f>
        <v>690791</v>
      </c>
      <c r="T35" s="88">
        <f t="shared" ref="T35:U35" si="29">SUM(T32:T34)</f>
        <v>690791</v>
      </c>
      <c r="U35" s="88">
        <f t="shared" si="29"/>
        <v>702767</v>
      </c>
      <c r="V35" s="110"/>
    </row>
    <row r="36" spans="1:22" x14ac:dyDescent="0.3">
      <c r="E36" s="84"/>
      <c r="F36" s="84"/>
      <c r="G36" s="84"/>
      <c r="H36" s="84"/>
      <c r="I36" s="84"/>
      <c r="K36" s="285"/>
      <c r="S36" s="285"/>
      <c r="V36" s="110"/>
    </row>
    <row r="37" spans="1:22" x14ac:dyDescent="0.3">
      <c r="A37" s="93" t="s">
        <v>483</v>
      </c>
      <c r="B37" s="84"/>
      <c r="C37" s="84"/>
      <c r="D37" s="84"/>
      <c r="E37" s="84"/>
      <c r="F37" s="84"/>
      <c r="G37" s="84"/>
      <c r="H37" s="84"/>
      <c r="I37" s="84"/>
      <c r="K37" s="285"/>
      <c r="S37" s="285"/>
      <c r="V37" s="110"/>
    </row>
    <row r="38" spans="1:22" x14ac:dyDescent="0.3">
      <c r="A38" s="84"/>
      <c r="B38" s="84" t="s">
        <v>476</v>
      </c>
      <c r="C38" s="84"/>
      <c r="D38" s="84"/>
      <c r="E38" s="84"/>
      <c r="F38" s="84"/>
      <c r="G38" s="84"/>
      <c r="H38" s="84"/>
      <c r="I38" s="84"/>
      <c r="K38" s="285"/>
      <c r="S38" s="285"/>
      <c r="V38" s="110"/>
    </row>
    <row r="39" spans="1:22" x14ac:dyDescent="0.3">
      <c r="A39" s="84"/>
      <c r="B39" s="84" t="s">
        <v>477</v>
      </c>
      <c r="C39" s="84"/>
      <c r="D39" s="110" t="e">
        <f>Unclassified!#REF!</f>
        <v>#REF!</v>
      </c>
      <c r="E39" s="110" t="e">
        <f>Unclassified!#REF!</f>
        <v>#REF!</v>
      </c>
      <c r="F39" s="110" t="e">
        <f>Unclassified!#REF!</f>
        <v>#REF!</v>
      </c>
      <c r="G39" s="110" t="e">
        <f>Unclassified!#REF!</f>
        <v>#REF!</v>
      </c>
      <c r="H39" s="110" t="e">
        <f>Unclassified!#REF!</f>
        <v>#REF!</v>
      </c>
      <c r="I39" s="110">
        <f>'BUDGET DETAIL'!S863</f>
        <v>845277.52</v>
      </c>
      <c r="J39" s="110"/>
      <c r="K39" s="110">
        <f>'BUDGET DETAIL'!AF863</f>
        <v>1095061.83</v>
      </c>
      <c r="L39" s="181"/>
      <c r="M39" s="110">
        <f>'BUDGET DETAIL'!AS863</f>
        <v>1347142.65</v>
      </c>
      <c r="N39" s="181"/>
      <c r="O39" s="110">
        <f>'BUDGET DETAIL'!BF863</f>
        <v>1360327.76</v>
      </c>
      <c r="P39" s="181"/>
      <c r="Q39" s="110">
        <f>'BUDGET DETAIL'!BR863</f>
        <v>1312064</v>
      </c>
      <c r="R39" s="181"/>
      <c r="S39" s="110">
        <f>'BUDGET DETAIL'!BW863</f>
        <v>1096864</v>
      </c>
      <c r="T39" s="110">
        <f>'BUDGET DETAIL'!BZ863</f>
        <v>1096864</v>
      </c>
      <c r="U39" s="110">
        <f>'BUDGET DETAIL'!CA863</f>
        <v>1096864</v>
      </c>
      <c r="V39" s="110"/>
    </row>
    <row r="40" spans="1:22" x14ac:dyDescent="0.3">
      <c r="A40" s="84"/>
      <c r="B40" s="84" t="s">
        <v>478</v>
      </c>
      <c r="C40" s="84"/>
      <c r="D40" s="84"/>
      <c r="E40" s="84"/>
      <c r="F40" s="84"/>
      <c r="G40" s="84"/>
      <c r="H40" s="84"/>
      <c r="I40" s="84"/>
      <c r="K40" s="285"/>
      <c r="S40" s="285"/>
      <c r="V40" s="110"/>
    </row>
    <row r="41" spans="1:22" x14ac:dyDescent="0.3">
      <c r="A41" s="84"/>
      <c r="B41" s="86"/>
      <c r="C41" s="86" t="s">
        <v>479</v>
      </c>
      <c r="D41" s="88" t="e">
        <f t="shared" ref="D41:I41" si="30">SUM(D38:D40)</f>
        <v>#REF!</v>
      </c>
      <c r="E41" s="88" t="e">
        <f t="shared" si="30"/>
        <v>#REF!</v>
      </c>
      <c r="F41" s="88" t="e">
        <f t="shared" si="30"/>
        <v>#REF!</v>
      </c>
      <c r="G41" s="88" t="e">
        <f t="shared" si="30"/>
        <v>#REF!</v>
      </c>
      <c r="H41" s="88" t="e">
        <f t="shared" si="30"/>
        <v>#REF!</v>
      </c>
      <c r="I41" s="88">
        <f t="shared" si="30"/>
        <v>845277.52</v>
      </c>
      <c r="J41" s="88"/>
      <c r="K41" s="88">
        <f t="shared" ref="K41" si="31">SUM(K38:K40)</f>
        <v>1095061.83</v>
      </c>
      <c r="L41" s="179"/>
      <c r="M41" s="88">
        <f t="shared" ref="M41:O41" si="32">SUM(M38:M40)</f>
        <v>1347142.65</v>
      </c>
      <c r="N41" s="179"/>
      <c r="O41" s="88">
        <f t="shared" si="32"/>
        <v>1360327.76</v>
      </c>
      <c r="P41" s="179"/>
      <c r="Q41" s="88">
        <f t="shared" ref="Q41" si="33">SUM(Q38:Q40)</f>
        <v>1312064</v>
      </c>
      <c r="R41" s="179"/>
      <c r="S41" s="88">
        <f t="shared" ref="S41" si="34">SUM(S38:S40)</f>
        <v>1096864</v>
      </c>
      <c r="T41" s="88">
        <f t="shared" ref="T41:U41" si="35">SUM(T38:T40)</f>
        <v>1096864</v>
      </c>
      <c r="U41" s="88">
        <f t="shared" si="35"/>
        <v>1096864</v>
      </c>
      <c r="V41" s="110"/>
    </row>
    <row r="42" spans="1:22" x14ac:dyDescent="0.3">
      <c r="E42" s="84"/>
      <c r="F42" s="84"/>
      <c r="G42" s="84"/>
      <c r="H42" s="84"/>
      <c r="I42" s="84"/>
      <c r="K42" s="285"/>
      <c r="S42" s="285"/>
      <c r="V42" s="110"/>
    </row>
    <row r="43" spans="1:22" x14ac:dyDescent="0.3">
      <c r="A43" s="93" t="s">
        <v>484</v>
      </c>
      <c r="B43" s="84"/>
      <c r="C43" s="84"/>
      <c r="D43" s="84"/>
      <c r="E43" s="84"/>
      <c r="F43" s="84"/>
      <c r="G43" s="84"/>
      <c r="H43" s="84"/>
      <c r="I43" s="84"/>
      <c r="K43" s="285"/>
      <c r="S43" s="285"/>
      <c r="V43" s="110"/>
    </row>
    <row r="44" spans="1:22" x14ac:dyDescent="0.3">
      <c r="A44" s="84"/>
      <c r="B44" s="84" t="s">
        <v>476</v>
      </c>
      <c r="C44" s="84"/>
      <c r="D44" s="84"/>
      <c r="E44" s="84"/>
      <c r="F44" s="84"/>
      <c r="G44" s="84"/>
      <c r="H44" s="84"/>
      <c r="I44" s="84"/>
      <c r="K44" s="285"/>
      <c r="S44" s="285"/>
      <c r="V44" s="110"/>
    </row>
    <row r="45" spans="1:22" x14ac:dyDescent="0.3">
      <c r="A45" s="84"/>
      <c r="B45" s="84" t="s">
        <v>477</v>
      </c>
      <c r="C45" s="84"/>
      <c r="D45" s="110" t="e">
        <f>Unclassified!#REF!+Unclassified!#REF!+Unclassified!#REF!+Unclassified!#REF!</f>
        <v>#REF!</v>
      </c>
      <c r="E45" s="110" t="e">
        <f>Unclassified!#REF!+Unclassified!#REF!+Unclassified!#REF!+Unclassified!#REF!</f>
        <v>#REF!</v>
      </c>
      <c r="F45" s="110" t="e">
        <f>Unclassified!#REF!+Unclassified!#REF!+Unclassified!#REF!+Unclassified!#REF!</f>
        <v>#REF!</v>
      </c>
      <c r="G45" s="110" t="e">
        <f>Unclassified!#REF!+Unclassified!#REF!+Unclassified!#REF!+Unclassified!#REF!</f>
        <v>#REF!</v>
      </c>
      <c r="H45" s="110" t="e">
        <f>Unclassified!#REF!+Unclassified!#REF!+Unclassified!#REF!+Unclassified!#REF!</f>
        <v>#REF!</v>
      </c>
      <c r="I45" s="110">
        <f>'BUDGET DETAIL'!S879+'BUDGET DETAIL'!S885+'BUDGET DETAIL'!S896+'BUDGET DETAIL'!S905+'BUDGET DETAIL'!S911</f>
        <v>3660118.04</v>
      </c>
      <c r="J45" s="110"/>
      <c r="K45" s="110">
        <f>'BUDGET DETAIL'!AF879+'BUDGET DETAIL'!AF885+'BUDGET DETAIL'!AF896+'BUDGET DETAIL'!AF905+'BUDGET DETAIL'!AF911</f>
        <v>3843205.4699999997</v>
      </c>
      <c r="L45" s="181"/>
      <c r="M45" s="110">
        <f>'BUDGET DETAIL'!AS879+'BUDGET DETAIL'!AS885+'BUDGET DETAIL'!AS896+'BUDGET DETAIL'!AS905+'BUDGET DETAIL'!AS911</f>
        <v>3923945.14</v>
      </c>
      <c r="N45" s="181"/>
      <c r="O45" s="110">
        <f>'BUDGET DETAIL'!BF879+'BUDGET DETAIL'!BF885+'BUDGET DETAIL'!BF896+'BUDGET DETAIL'!BF905+'BUDGET DETAIL'!BF911</f>
        <v>3859376.1399999997</v>
      </c>
      <c r="P45" s="181"/>
      <c r="Q45" s="110">
        <f>'BUDGET DETAIL'!BR879+'BUDGET DETAIL'!BR885+'BUDGET DETAIL'!BR896+'BUDGET DETAIL'!BR905+'BUDGET DETAIL'!BR911</f>
        <v>4253832</v>
      </c>
      <c r="R45" s="181"/>
      <c r="S45" s="110">
        <f>'BUDGET DETAIL'!BW879+'BUDGET DETAIL'!BW885+'BUDGET DETAIL'!BW896+'BUDGET DETAIL'!BW905+'BUDGET DETAIL'!BW911</f>
        <v>4433833</v>
      </c>
      <c r="T45" s="110">
        <f>'BUDGET DETAIL'!BZ879+'BUDGET DETAIL'!BZ885+'BUDGET DETAIL'!BZ896+'BUDGET DETAIL'!BZ905+'BUDGET DETAIL'!BZ911</f>
        <v>4431833</v>
      </c>
      <c r="U45" s="110">
        <f>'BUDGET DETAIL'!CA879+'BUDGET DETAIL'!CA885+'BUDGET DETAIL'!CA896+'BUDGET DETAIL'!CA905+'BUDGET DETAIL'!CA911</f>
        <v>4320833</v>
      </c>
      <c r="V45" s="110"/>
    </row>
    <row r="46" spans="1:22" x14ac:dyDescent="0.3">
      <c r="A46" s="84"/>
      <c r="B46" s="84" t="s">
        <v>478</v>
      </c>
      <c r="C46" s="84"/>
      <c r="D46" s="84"/>
      <c r="E46" s="84"/>
      <c r="F46" s="84"/>
      <c r="G46" s="84"/>
      <c r="H46" s="84"/>
      <c r="I46" s="84"/>
      <c r="K46" s="285"/>
      <c r="S46" s="285"/>
      <c r="V46" s="110"/>
    </row>
    <row r="47" spans="1:22" s="285" customFormat="1" ht="15" thickBot="1" x14ac:dyDescent="0.35">
      <c r="B47" s="89"/>
      <c r="C47" s="89" t="s">
        <v>479</v>
      </c>
      <c r="D47" s="90" t="e">
        <f t="shared" ref="D47:J47" si="36">SUM(D44:D46)</f>
        <v>#REF!</v>
      </c>
      <c r="E47" s="90" t="e">
        <f t="shared" si="36"/>
        <v>#REF!</v>
      </c>
      <c r="F47" s="90" t="e">
        <f t="shared" si="36"/>
        <v>#REF!</v>
      </c>
      <c r="G47" s="90" t="e">
        <f t="shared" si="36"/>
        <v>#REF!</v>
      </c>
      <c r="H47" s="90" t="e">
        <f t="shared" si="36"/>
        <v>#REF!</v>
      </c>
      <c r="I47" s="90">
        <f t="shared" si="36"/>
        <v>3660118.04</v>
      </c>
      <c r="J47" s="90">
        <f t="shared" si="36"/>
        <v>0</v>
      </c>
      <c r="K47" s="90">
        <f t="shared" ref="K47" si="37">SUM(K44:K46)</f>
        <v>3843205.4699999997</v>
      </c>
      <c r="L47" s="179"/>
      <c r="M47" s="90">
        <f t="shared" ref="M47:O47" si="38">SUM(M44:M46)</f>
        <v>3923945.14</v>
      </c>
      <c r="N47" s="179"/>
      <c r="O47" s="90">
        <f t="shared" si="38"/>
        <v>3859376.1399999997</v>
      </c>
      <c r="P47" s="179"/>
      <c r="Q47" s="90">
        <f t="shared" ref="Q47" si="39">SUM(Q44:Q46)</f>
        <v>4253832</v>
      </c>
      <c r="R47" s="179"/>
      <c r="S47" s="90">
        <f t="shared" ref="S47" si="40">SUM(S44:S46)</f>
        <v>4433833</v>
      </c>
      <c r="T47" s="90">
        <f t="shared" ref="T47:U47" si="41">SUM(T44:T46)</f>
        <v>4431833</v>
      </c>
      <c r="U47" s="90">
        <f t="shared" si="41"/>
        <v>4320833</v>
      </c>
      <c r="V47" s="110"/>
    </row>
    <row r="48" spans="1:22" s="285" customFormat="1" x14ac:dyDescent="0.3">
      <c r="L48" s="87"/>
      <c r="N48" s="87"/>
      <c r="P48" s="87"/>
      <c r="R48" s="87"/>
      <c r="V48" s="110"/>
    </row>
    <row r="49" spans="1:22" s="285" customFormat="1" x14ac:dyDescent="0.3">
      <c r="A49" s="93" t="s">
        <v>904</v>
      </c>
      <c r="L49" s="87"/>
      <c r="N49" s="87"/>
      <c r="P49" s="87"/>
      <c r="R49" s="87"/>
      <c r="V49" s="110"/>
    </row>
    <row r="50" spans="1:22" s="285" customFormat="1" x14ac:dyDescent="0.3">
      <c r="B50" s="285" t="s">
        <v>905</v>
      </c>
      <c r="D50" s="110"/>
      <c r="E50" s="110"/>
      <c r="F50" s="110"/>
      <c r="G50" s="110"/>
      <c r="H50" s="110"/>
      <c r="I50" s="110">
        <f>'BUDGET DETAIL'!S920</f>
        <v>150109</v>
      </c>
      <c r="J50" s="110"/>
      <c r="K50" s="110">
        <f>'BUDGET DETAIL'!AF920</f>
        <v>114000</v>
      </c>
      <c r="L50" s="181"/>
      <c r="M50" s="110">
        <f>'BUDGET DETAIL'!AS920</f>
        <v>75200</v>
      </c>
      <c r="N50" s="181"/>
      <c r="O50" s="110">
        <f>'BUDGET DETAIL'!BF920</f>
        <v>115000</v>
      </c>
      <c r="P50" s="181"/>
      <c r="Q50" s="110">
        <f>'BUDGET DETAIL'!BR920</f>
        <v>20000</v>
      </c>
      <c r="R50" s="181"/>
      <c r="S50" s="110">
        <f>'BUDGET DETAIL'!BW920</f>
        <v>0</v>
      </c>
      <c r="T50" s="110">
        <f>'BUDGET DETAIL'!BZ920</f>
        <v>0</v>
      </c>
      <c r="U50" s="110">
        <f>'BUDGET DETAIL'!CA920</f>
        <v>0</v>
      </c>
      <c r="V50" s="110"/>
    </row>
    <row r="51" spans="1:22" ht="15" thickBot="1" x14ac:dyDescent="0.35">
      <c r="A51" s="84"/>
      <c r="B51" s="89"/>
      <c r="C51" s="89" t="s">
        <v>479</v>
      </c>
      <c r="D51" s="90">
        <f t="shared" ref="D51:J51" si="42">SUM(D50)</f>
        <v>0</v>
      </c>
      <c r="E51" s="90">
        <f t="shared" si="42"/>
        <v>0</v>
      </c>
      <c r="F51" s="90">
        <f t="shared" si="42"/>
        <v>0</v>
      </c>
      <c r="G51" s="90">
        <f t="shared" si="42"/>
        <v>0</v>
      </c>
      <c r="H51" s="90">
        <f t="shared" si="42"/>
        <v>0</v>
      </c>
      <c r="I51" s="90">
        <f t="shared" si="42"/>
        <v>150109</v>
      </c>
      <c r="J51" s="90">
        <f t="shared" si="42"/>
        <v>0</v>
      </c>
      <c r="K51" s="90">
        <f t="shared" ref="K51" si="43">SUM(K50)</f>
        <v>114000</v>
      </c>
      <c r="L51" s="179"/>
      <c r="M51" s="90">
        <f t="shared" ref="M51:O51" si="44">SUM(M50)</f>
        <v>75200</v>
      </c>
      <c r="N51" s="179"/>
      <c r="O51" s="90">
        <f t="shared" si="44"/>
        <v>115000</v>
      </c>
      <c r="P51" s="179"/>
      <c r="Q51" s="90">
        <f t="shared" ref="Q51" si="45">SUM(Q50)</f>
        <v>20000</v>
      </c>
      <c r="R51" s="179"/>
      <c r="S51" s="90">
        <f t="shared" ref="S51:U51" si="46">SUM(S50)</f>
        <v>0</v>
      </c>
      <c r="T51" s="90">
        <f t="shared" si="46"/>
        <v>0</v>
      </c>
      <c r="U51" s="90">
        <f t="shared" si="46"/>
        <v>0</v>
      </c>
      <c r="V51" s="110"/>
    </row>
    <row r="52" spans="1:22" x14ac:dyDescent="0.3">
      <c r="E52" s="84"/>
      <c r="F52" s="84"/>
      <c r="G52" s="84"/>
      <c r="H52" s="84"/>
      <c r="I52" s="84"/>
      <c r="K52" s="285"/>
      <c r="S52" s="285"/>
      <c r="V52" s="110"/>
    </row>
    <row r="53" spans="1:22" ht="15" thickBot="1" x14ac:dyDescent="0.35">
      <c r="A53" s="84"/>
      <c r="B53" s="84"/>
      <c r="C53" s="91" t="s">
        <v>485</v>
      </c>
      <c r="D53" s="92" t="e">
        <f>D11+D17+D23+D29+D35+D41+D51</f>
        <v>#REF!</v>
      </c>
      <c r="E53" s="92" t="e">
        <f>E11+E17+E23+E29+E35+E41+E51</f>
        <v>#REF!</v>
      </c>
      <c r="F53" s="328" t="e">
        <f>F11+F17+F23+F29+F35+F41+F47+F51</f>
        <v>#REF!</v>
      </c>
      <c r="G53" s="328" t="e">
        <f>G11+G17+G23+G29+G35+G41+G47+G51</f>
        <v>#REF!</v>
      </c>
      <c r="H53" s="328" t="e">
        <f>H11+H17+H23+H29+H35+H41+H47+H51</f>
        <v>#REF!</v>
      </c>
      <c r="I53" s="328">
        <f>I11+I17+I23+I29+I35+I41+I47+I51</f>
        <v>10836570.039999999</v>
      </c>
      <c r="J53" s="328"/>
      <c r="K53" s="328">
        <f>K11+K17+K23+K29+K35+K41+K47+K51</f>
        <v>11600763.92</v>
      </c>
      <c r="L53" s="182"/>
      <c r="M53" s="328">
        <f>M11+M17+M23+M29+M35+M41+M47+M51</f>
        <v>11701989.370000001</v>
      </c>
      <c r="N53" s="111"/>
      <c r="O53" s="328">
        <f>O11+O17+O23+O29+O35+O41+O47+O51</f>
        <v>11818352.43</v>
      </c>
      <c r="P53" s="111"/>
      <c r="Q53" s="328">
        <f>Q11+Q17+Q23+Q29+Q35+Q41+Q47+Q51</f>
        <v>12860277</v>
      </c>
      <c r="R53" s="111"/>
      <c r="S53" s="328">
        <f>S11+S17+S23+S29+S35+S41+S47+S51</f>
        <v>12854146</v>
      </c>
      <c r="T53" s="328">
        <f>T11+T17+T23+T29+T35+T41+T47+T51</f>
        <v>12852146</v>
      </c>
      <c r="U53" s="328">
        <f>U11+U17+U23+U29+U35+U41+U47+U51</f>
        <v>12979897</v>
      </c>
      <c r="V53" s="211"/>
    </row>
    <row r="54" spans="1:22" x14ac:dyDescent="0.3">
      <c r="E54" s="84"/>
      <c r="F54" s="84"/>
      <c r="G54" s="84"/>
      <c r="H54" s="84"/>
      <c r="I54" s="84"/>
      <c r="K54" s="285"/>
      <c r="S54" s="285"/>
      <c r="V54" s="211"/>
    </row>
    <row r="55" spans="1:22" x14ac:dyDescent="0.3">
      <c r="E55" s="84"/>
      <c r="F55" s="84"/>
      <c r="G55" s="84"/>
      <c r="H55" s="84"/>
      <c r="I55" s="84"/>
      <c r="K55" s="285"/>
      <c r="S55" s="285"/>
      <c r="V55" s="211"/>
    </row>
    <row r="56" spans="1:22" x14ac:dyDescent="0.3">
      <c r="C56" s="91" t="s">
        <v>595</v>
      </c>
      <c r="D56" s="110" t="e">
        <f>Unclassified!#REF!</f>
        <v>#REF!</v>
      </c>
      <c r="E56" s="110" t="e">
        <f>Unclassified!#REF!</f>
        <v>#REF!</v>
      </c>
      <c r="F56" s="110" t="e">
        <f>Unclassified!#REF!</f>
        <v>#REF!</v>
      </c>
      <c r="G56" s="110" t="e">
        <f>Unclassified!#REF!</f>
        <v>#REF!</v>
      </c>
      <c r="H56" s="110" t="e">
        <f>Unclassified!#REF!</f>
        <v>#REF!</v>
      </c>
      <c r="I56" s="110">
        <f>'BUDGET DETAIL'!S508</f>
        <v>15191922.74</v>
      </c>
      <c r="J56" s="110"/>
      <c r="K56" s="110">
        <f>'BUDGET DETAIL'!AF508</f>
        <v>15825378.890000001</v>
      </c>
      <c r="L56" s="181"/>
      <c r="M56" s="110">
        <f>'BUDGET DETAIL'!AS508</f>
        <v>16691113.870000001</v>
      </c>
      <c r="N56" s="181"/>
      <c r="O56" s="110">
        <f>'BUDGET DETAIL'!BF508</f>
        <v>17201091.18</v>
      </c>
      <c r="P56" s="181"/>
      <c r="Q56" s="110">
        <f>'BUDGET DETAIL'!BR508</f>
        <v>18264847</v>
      </c>
      <c r="R56" s="181"/>
      <c r="S56" s="110">
        <f>'BUDGET DETAIL'!BW508</f>
        <v>18928838</v>
      </c>
      <c r="T56" s="110">
        <f>'BUDGET DETAIL'!BZ508</f>
        <v>18928838</v>
      </c>
      <c r="U56" s="110">
        <f>'BUDGET DETAIL'!CA508</f>
        <v>18954938</v>
      </c>
      <c r="V56" s="211"/>
    </row>
    <row r="57" spans="1:22" x14ac:dyDescent="0.3">
      <c r="K57" s="285"/>
      <c r="S57" s="285"/>
      <c r="V57" s="211"/>
    </row>
    <row r="58" spans="1:22" x14ac:dyDescent="0.3">
      <c r="C58" t="s">
        <v>596</v>
      </c>
      <c r="D58" s="165" t="e">
        <f t="shared" ref="D58:I58" si="47">SUM(D53:D56)</f>
        <v>#REF!</v>
      </c>
      <c r="E58" s="165" t="e">
        <f t="shared" si="47"/>
        <v>#REF!</v>
      </c>
      <c r="F58" s="165" t="e">
        <f t="shared" si="47"/>
        <v>#REF!</v>
      </c>
      <c r="G58" s="165" t="e">
        <f t="shared" si="47"/>
        <v>#REF!</v>
      </c>
      <c r="H58" s="165" t="e">
        <f t="shared" si="47"/>
        <v>#REF!</v>
      </c>
      <c r="I58" s="165">
        <f t="shared" si="47"/>
        <v>26028492.780000001</v>
      </c>
      <c r="J58" s="165"/>
      <c r="K58" s="165">
        <f t="shared" ref="K58" si="48">SUM(K53:K56)</f>
        <v>27426142.810000002</v>
      </c>
      <c r="L58" s="182"/>
      <c r="M58" s="165">
        <f t="shared" ref="M58:O58" si="49">SUM(M53:M56)</f>
        <v>28393103.240000002</v>
      </c>
      <c r="N58" s="182"/>
      <c r="O58" s="165">
        <f t="shared" si="49"/>
        <v>29019443.609999999</v>
      </c>
      <c r="P58" s="182"/>
      <c r="Q58" s="165">
        <f t="shared" ref="Q58" si="50">SUM(Q53:Q56)</f>
        <v>31125124</v>
      </c>
      <c r="R58" s="182"/>
      <c r="S58" s="165">
        <f>SUM(S53:S56)</f>
        <v>31782984</v>
      </c>
      <c r="T58" s="165">
        <f t="shared" ref="T58:U58" si="51">SUM(T53:T56)</f>
        <v>31780984</v>
      </c>
      <c r="U58" s="165">
        <f t="shared" si="51"/>
        <v>31934835</v>
      </c>
      <c r="V58" s="211"/>
    </row>
    <row r="59" spans="1:22" s="728" customFormat="1" ht="10.199999999999999" x14ac:dyDescent="0.2">
      <c r="L59" s="729"/>
      <c r="N59" s="729"/>
      <c r="P59" s="729"/>
      <c r="R59" s="729"/>
    </row>
    <row r="60" spans="1:22" s="728" customFormat="1" ht="10.199999999999999" x14ac:dyDescent="0.2">
      <c r="N60" s="729"/>
      <c r="P60" s="729"/>
      <c r="R60" s="729"/>
    </row>
    <row r="61" spans="1:22" s="285" customFormat="1" x14ac:dyDescent="0.3">
      <c r="L61" s="87"/>
      <c r="N61" s="87"/>
      <c r="P61" s="87"/>
      <c r="R61" s="87"/>
      <c r="S61" s="112"/>
      <c r="T61" s="112"/>
      <c r="U61" s="112"/>
      <c r="V61" s="110"/>
    </row>
    <row r="62" spans="1:22" x14ac:dyDescent="0.3">
      <c r="V62" s="110"/>
    </row>
    <row r="63" spans="1:22" x14ac:dyDescent="0.3">
      <c r="B63" s="91" t="s">
        <v>476</v>
      </c>
      <c r="S63" s="184">
        <f>S8+S14+S20+S26+S32+S38+S44</f>
        <v>5146134</v>
      </c>
      <c r="T63" s="184">
        <f>T8+T14+T20+T26+T32+T38+T44</f>
        <v>5146134</v>
      </c>
      <c r="U63" s="184">
        <f>U8+U14+U20+U26+U32+U38+U44</f>
        <v>5304589</v>
      </c>
      <c r="V63" s="360"/>
    </row>
    <row r="64" spans="1:22" x14ac:dyDescent="0.3">
      <c r="B64" s="91" t="s">
        <v>477</v>
      </c>
      <c r="S64" s="184">
        <f>S9+S15+S21+S27+S33</f>
        <v>2177315</v>
      </c>
      <c r="T64" s="184">
        <f>T9+T15+T21+T27+T33</f>
        <v>2177315</v>
      </c>
      <c r="U64" s="184">
        <f>U9+U15+U21+U27+U33</f>
        <v>2257611</v>
      </c>
      <c r="V64" s="211"/>
    </row>
    <row r="65" spans="2:24" x14ac:dyDescent="0.3">
      <c r="B65" s="91" t="s">
        <v>1045</v>
      </c>
      <c r="S65" s="184">
        <f>S41</f>
        <v>1096864</v>
      </c>
      <c r="T65" s="184">
        <f>T41</f>
        <v>1096864</v>
      </c>
      <c r="U65" s="184">
        <f>U41</f>
        <v>1096864</v>
      </c>
      <c r="V65" s="211"/>
    </row>
    <row r="66" spans="2:24" x14ac:dyDescent="0.3">
      <c r="B66" s="91" t="s">
        <v>484</v>
      </c>
      <c r="S66" s="184">
        <f>S47</f>
        <v>4433833</v>
      </c>
      <c r="T66" s="184">
        <f>T47</f>
        <v>4431833</v>
      </c>
      <c r="U66" s="184">
        <f>U47</f>
        <v>4320833</v>
      </c>
      <c r="V66" s="211"/>
    </row>
    <row r="67" spans="2:24" x14ac:dyDescent="0.3">
      <c r="B67" s="91" t="s">
        <v>1046</v>
      </c>
      <c r="S67" s="184">
        <f>S51</f>
        <v>0</v>
      </c>
      <c r="T67" s="184">
        <f>T51</f>
        <v>0</v>
      </c>
      <c r="U67" s="184">
        <f>U51</f>
        <v>0</v>
      </c>
      <c r="V67" s="211"/>
    </row>
    <row r="68" spans="2:24" x14ac:dyDescent="0.3">
      <c r="S68" s="344">
        <f>SUM(S63:S67)</f>
        <v>12854146</v>
      </c>
      <c r="T68" s="344">
        <f>SUM(T63:T67)</f>
        <v>12852146</v>
      </c>
      <c r="U68" s="344">
        <f>SUM(U63:U67)</f>
        <v>12979897</v>
      </c>
      <c r="V68" s="211"/>
    </row>
    <row r="70" spans="2:24" ht="15" thickBot="1" x14ac:dyDescent="0.35">
      <c r="S70" s="84" t="s">
        <v>1097</v>
      </c>
    </row>
    <row r="71" spans="2:24" s="285" customFormat="1" x14ac:dyDescent="0.3">
      <c r="L71" s="87"/>
      <c r="N71" s="87"/>
      <c r="P71" s="87"/>
      <c r="R71" s="87"/>
      <c r="S71" s="374"/>
      <c r="T71" s="375"/>
      <c r="U71" s="375"/>
      <c r="V71" s="375"/>
      <c r="W71" s="375"/>
      <c r="X71" s="376"/>
    </row>
    <row r="72" spans="2:24" x14ac:dyDescent="0.3">
      <c r="S72" s="377"/>
      <c r="T72" s="87"/>
      <c r="U72" s="378">
        <f>U66</f>
        <v>4320833</v>
      </c>
      <c r="V72" s="87"/>
      <c r="W72" s="87"/>
      <c r="X72" s="379"/>
    </row>
    <row r="73" spans="2:24" x14ac:dyDescent="0.3">
      <c r="S73" s="377"/>
      <c r="T73" s="380">
        <v>0.5</v>
      </c>
      <c r="U73" s="179">
        <f>U72*T73</f>
        <v>2160416.5</v>
      </c>
      <c r="V73" s="87" t="s">
        <v>1098</v>
      </c>
      <c r="W73" s="87"/>
      <c r="X73" s="379"/>
    </row>
    <row r="74" spans="2:24" x14ac:dyDescent="0.3">
      <c r="S74" s="377"/>
      <c r="T74" s="380">
        <v>0.5</v>
      </c>
      <c r="U74" s="179">
        <f>U72*T74</f>
        <v>2160416.5</v>
      </c>
      <c r="V74" s="87" t="s">
        <v>1099</v>
      </c>
      <c r="W74" s="87"/>
      <c r="X74" s="379"/>
    </row>
    <row r="75" spans="2:24" x14ac:dyDescent="0.3">
      <c r="S75" s="377"/>
      <c r="T75" s="87"/>
      <c r="U75" s="344">
        <f>SUM(U73:U74)</f>
        <v>4320833</v>
      </c>
      <c r="V75" s="87"/>
      <c r="W75" s="87"/>
      <c r="X75" s="379"/>
    </row>
    <row r="76" spans="2:24" x14ac:dyDescent="0.3">
      <c r="S76" s="377"/>
      <c r="T76" s="87"/>
      <c r="U76" s="87"/>
      <c r="V76" s="381"/>
      <c r="W76" s="87"/>
      <c r="X76" s="379"/>
    </row>
    <row r="77" spans="2:24" x14ac:dyDescent="0.3">
      <c r="S77" s="377"/>
      <c r="T77" s="87" t="s">
        <v>1095</v>
      </c>
      <c r="U77" s="111">
        <f>U53-U74</f>
        <v>10819480.5</v>
      </c>
      <c r="V77" s="381">
        <f>U77/U79</f>
        <v>0.33879869740989738</v>
      </c>
      <c r="W77" s="87" t="s">
        <v>1095</v>
      </c>
      <c r="X77" s="379"/>
    </row>
    <row r="78" spans="2:24" x14ac:dyDescent="0.3">
      <c r="S78" s="377"/>
      <c r="T78" s="87" t="s">
        <v>1096</v>
      </c>
      <c r="U78" s="181">
        <f>U56+U74</f>
        <v>21115354.5</v>
      </c>
      <c r="V78" s="381">
        <f>U78/U79</f>
        <v>0.66120130259010268</v>
      </c>
      <c r="W78" s="87" t="s">
        <v>1096</v>
      </c>
      <c r="X78" s="379"/>
    </row>
    <row r="79" spans="2:24" x14ac:dyDescent="0.3">
      <c r="S79" s="377"/>
      <c r="T79" s="87"/>
      <c r="U79" s="344">
        <f>SUM(U77:U78)</f>
        <v>31934835</v>
      </c>
      <c r="V79" s="351">
        <f>SUM(V77:V78)</f>
        <v>1</v>
      </c>
      <c r="W79" s="87"/>
      <c r="X79" s="379"/>
    </row>
    <row r="80" spans="2:24" ht="15" thickBot="1" x14ac:dyDescent="0.35">
      <c r="S80" s="382"/>
      <c r="T80" s="383"/>
      <c r="U80" s="383"/>
      <c r="V80" s="383"/>
      <c r="W80" s="383"/>
      <c r="X80" s="384"/>
    </row>
  </sheetData>
  <mergeCells count="2">
    <mergeCell ref="A3:U3"/>
    <mergeCell ref="A1:U1"/>
  </mergeCells>
  <printOptions horizontalCentered="1"/>
  <pageMargins left="0.1" right="0.1" top="0.75" bottom="0.5" header="0.25" footer="0.25"/>
  <pageSetup scale="81" orientation="portrait" r:id="rId1"/>
  <headerFooter>
    <oddHeader>&amp;CFY22 BUDGET - &amp;A&amp;RPage &amp;P of &amp;N</oddHeader>
    <oddFooter>&amp;L&amp;12March 29, 2022&amp;R&amp;12&amp;F /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13</vt:i4>
      </vt:variant>
    </vt:vector>
  </HeadingPairs>
  <TitlesOfParts>
    <vt:vector size="22" baseType="lpstr">
      <vt:lpstr>INDEX</vt:lpstr>
      <vt:lpstr>BUDGET DETAIL</vt:lpstr>
      <vt:lpstr>ABOVE GUIDELINES</vt:lpstr>
      <vt:lpstr>Unclassified</vt:lpstr>
      <vt:lpstr>% INC</vt:lpstr>
      <vt:lpstr>Pie Chart-Budget</vt:lpstr>
      <vt:lpstr>Pie Chart-School</vt:lpstr>
      <vt:lpstr>SUMMARY</vt:lpstr>
      <vt:lpstr>Exp By Function</vt:lpstr>
      <vt:lpstr>'% INC'!Print_Area</vt:lpstr>
      <vt:lpstr>'ABOVE GUIDELINES'!Print_Area</vt:lpstr>
      <vt:lpstr>'BUDGET DETAIL'!Print_Area</vt:lpstr>
      <vt:lpstr>'Exp By Function'!Print_Area</vt:lpstr>
      <vt:lpstr>INDEX!Print_Area</vt:lpstr>
      <vt:lpstr>'Pie Chart-Budget'!Print_Area</vt:lpstr>
      <vt:lpstr>'Pie Chart-School'!Print_Area</vt:lpstr>
      <vt:lpstr>SUMMARY!Print_Area</vt:lpstr>
      <vt:lpstr>Unclassified!Print_Area</vt:lpstr>
      <vt:lpstr>'ABOVE GUIDELINES'!Print_Titles</vt:lpstr>
      <vt:lpstr>'BUDGET DETAIL'!Print_Titles</vt:lpstr>
      <vt:lpstr>SUMMARY!Print_Titles</vt:lpstr>
      <vt:lpstr>Unclassified!Print_Titles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Gabriel</dc:creator>
  <cp:lastModifiedBy>Debra A. Morong</cp:lastModifiedBy>
  <cp:lastPrinted>2022-03-29T16:15:43Z</cp:lastPrinted>
  <dcterms:created xsi:type="dcterms:W3CDTF">2016-08-08T23:15:53Z</dcterms:created>
  <dcterms:modified xsi:type="dcterms:W3CDTF">2022-03-29T16:52:20Z</dcterms:modified>
</cp:coreProperties>
</file>